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Comunidades energeticas\SPO\"/>
    </mc:Choice>
  </mc:AlternateContent>
  <xr:revisionPtr revIDLastSave="0" documentId="13_ncr:1_{FD1C0EFE-C333-469E-837C-9D95436E666D}" xr6:coauthVersionLast="36" xr6:coauthVersionMax="47" xr10:uidLastSave="{00000000-0000-0000-0000-000000000000}"/>
  <bookViews>
    <workbookView xWindow="-110" yWindow="-110" windowWidth="19420" windowHeight="11500" tabRatio="868" xr2:uid="{B0E11A1C-8F23-486D-BE23-B40DC1485A07}"/>
  </bookViews>
  <sheets>
    <sheet name="Usuarios" sheetId="32" r:id="rId1"/>
    <sheet name="PRESUPUESTO GENERAL SISFV" sheetId="5" r:id="rId2"/>
    <sheet name="APU_PGS" sheetId="66" r:id="rId3"/>
    <sheet name="APU_PMA" sheetId="68" r:id="rId4"/>
    <sheet name="FP" sheetId="9" r:id="rId5"/>
    <sheet name="Memoria Civil" sheetId="41" r:id="rId6"/>
    <sheet name="1.1" sheetId="6" r:id="rId7"/>
    <sheet name="1.2" sheetId="7" r:id="rId8"/>
    <sheet name="1.3" sheetId="39" r:id="rId9"/>
    <sheet name="1.4" sheetId="59" r:id="rId10"/>
    <sheet name="1.5" sheetId="17" r:id="rId11"/>
    <sheet name="1.6" sheetId="60" r:id="rId12"/>
    <sheet name="1.7" sheetId="14" r:id="rId13"/>
    <sheet name="1.8" sheetId="15" r:id="rId14"/>
    <sheet name="1.9" sheetId="16" r:id="rId15"/>
    <sheet name="1.10" sheetId="61" r:id="rId16"/>
    <sheet name="1.11" sheetId="18" r:id="rId17"/>
    <sheet name="1.12" sheetId="62" r:id="rId18"/>
    <sheet name="2.1" sheetId="43" r:id="rId19"/>
    <sheet name="2.2" sheetId="20" r:id="rId20"/>
    <sheet name="3.1" sheetId="19" r:id="rId21"/>
    <sheet name="4.1" sheetId="21" r:id="rId22"/>
    <sheet name="4.2" sheetId="63" r:id="rId23"/>
    <sheet name="MATERIALES" sheetId="10" r:id="rId24"/>
    <sheet name="Equipos importados" sheetId="34" r:id="rId25"/>
    <sheet name="RENDIMIENTOS" sheetId="1" r:id="rId26"/>
    <sheet name="EQUIPO Y HERRAMIENTA" sheetId="2" r:id="rId27"/>
    <sheet name="TRANSPORTE" sheetId="3" r:id="rId28"/>
    <sheet name="MANO DE OBRA" sheetId="4" r:id="rId29"/>
    <sheet name="ENSAYOS DE LABORATORIO" sheetId="24" r:id="rId30"/>
  </sheets>
  <externalReferences>
    <externalReference r:id="rId31"/>
  </externalReferences>
  <definedNames>
    <definedName name="__123Graph_AMAIN" localSheetId="6" hidden="1">#REF!</definedName>
    <definedName name="__123Graph_AMAIN" localSheetId="29" hidden="1">#REF!</definedName>
    <definedName name="__123Graph_AMAIN" localSheetId="26" hidden="1">#REF!</definedName>
    <definedName name="__123Graph_AMAIN" localSheetId="4" hidden="1">#REF!</definedName>
    <definedName name="__123Graph_AMAIN" localSheetId="27" hidden="1">#REF!</definedName>
    <definedName name="__123Graph_AMAIN" hidden="1">#REF!</definedName>
    <definedName name="__123Graph_BMAIN" localSheetId="6" hidden="1">#REF!</definedName>
    <definedName name="__123Graph_BMAIN" localSheetId="29" hidden="1">#REF!</definedName>
    <definedName name="__123Graph_BMAIN" localSheetId="26" hidden="1">#REF!</definedName>
    <definedName name="__123Graph_BMAIN" localSheetId="4" hidden="1">#REF!</definedName>
    <definedName name="__123Graph_BMAIN" localSheetId="27" hidden="1">#REF!</definedName>
    <definedName name="__123Graph_BMAIN" hidden="1">#REF!</definedName>
    <definedName name="__123Graph_C" localSheetId="6" hidden="1">#REF!</definedName>
    <definedName name="__123Graph_C" localSheetId="26" hidden="1">#REF!</definedName>
    <definedName name="__123Graph_C" localSheetId="4" hidden="1">#REF!</definedName>
    <definedName name="__123Graph_C" localSheetId="27" hidden="1">#REF!</definedName>
    <definedName name="__123Graph_C" hidden="1">#REF!</definedName>
    <definedName name="__123Graph_E" localSheetId="6" hidden="1">#REF!</definedName>
    <definedName name="__123Graph_E" localSheetId="26" hidden="1">#REF!</definedName>
    <definedName name="__123Graph_E" localSheetId="4" hidden="1">#REF!</definedName>
    <definedName name="__123Graph_E" localSheetId="27" hidden="1">#REF!</definedName>
    <definedName name="__123Graph_E" hidden="1">#REF!</definedName>
    <definedName name="__123Graph_F" localSheetId="6" hidden="1">#REF!</definedName>
    <definedName name="__123Graph_F" localSheetId="26" hidden="1">#REF!</definedName>
    <definedName name="__123Graph_F" localSheetId="4" hidden="1">#REF!</definedName>
    <definedName name="__123Graph_F" localSheetId="27" hidden="1">#REF!</definedName>
    <definedName name="__123Graph_F" hidden="1">#REF!</definedName>
    <definedName name="__123Graph_X" localSheetId="6" hidden="1">#REF!</definedName>
    <definedName name="__123Graph_X" localSheetId="26" hidden="1">#REF!</definedName>
    <definedName name="__123Graph_X" localSheetId="4" hidden="1">#REF!</definedName>
    <definedName name="__123Graph_X" localSheetId="27" hidden="1">#REF!</definedName>
    <definedName name="__123Graph_X" hidden="1">#REF!</definedName>
    <definedName name="__123Graph_XMAIN" localSheetId="6" hidden="1">#REF!</definedName>
    <definedName name="__123Graph_XMAIN" localSheetId="29" hidden="1">#REF!</definedName>
    <definedName name="__123Graph_XMAIN" localSheetId="26" hidden="1">#REF!</definedName>
    <definedName name="__123Graph_XMAIN" localSheetId="4" hidden="1">#REF!</definedName>
    <definedName name="__123Graph_XMAIN" localSheetId="27" hidden="1">#REF!</definedName>
    <definedName name="__123Graph_XMAIN" hidden="1">#REF!</definedName>
    <definedName name="__CMU005" localSheetId="6" hidden="1">#REF!</definedName>
    <definedName name="__CMU005" localSheetId="29" hidden="1">#REF!</definedName>
    <definedName name="__CMU005" localSheetId="26" hidden="1">#REF!</definedName>
    <definedName name="__CMU005" localSheetId="4" hidden="1">#REF!</definedName>
    <definedName name="__CMU005" localSheetId="27" hidden="1">#REF!</definedName>
    <definedName name="__CMU005" hidden="1">#REF!</definedName>
    <definedName name="__xlfn.BAHTTEXT" hidden="1">#NAME?</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557</definedName>
    <definedName name="_AtRisk_SimSetting_ReportOptionReportsFileType" hidden="1">1</definedName>
    <definedName name="_AtRisk_SimSetting_ReportOptionSelectiveQR" hidden="1">FALSE</definedName>
    <definedName name="_AtRisk_SimSetting_ReportsList" hidden="1">557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MU005" localSheetId="6" hidden="1">#REF!</definedName>
    <definedName name="_CMU005" localSheetId="26" hidden="1">#REF!</definedName>
    <definedName name="_CMU005" localSheetId="4" hidden="1">#REF!</definedName>
    <definedName name="_CMU005" localSheetId="27" hidden="1">#REF!</definedName>
    <definedName name="_CMU005" hidden="1">#REF!</definedName>
    <definedName name="_F" localSheetId="6" hidden="1">#REF!</definedName>
    <definedName name="_F" localSheetId="26" hidden="1">#REF!</definedName>
    <definedName name="_F" localSheetId="4" hidden="1">#REF!</definedName>
    <definedName name="_F" localSheetId="27" hidden="1">#REF!</definedName>
    <definedName name="_F" hidden="1">#REF!</definedName>
    <definedName name="_Fill" localSheetId="6" hidden="1">#REF!</definedName>
    <definedName name="_Fill" localSheetId="26" hidden="1">#REF!</definedName>
    <definedName name="_Fill" localSheetId="4" hidden="1">#REF!</definedName>
    <definedName name="_Fill" localSheetId="27" hidden="1">#REF!</definedName>
    <definedName name="_Fill" hidden="1">#REF!</definedName>
    <definedName name="_xlnm._FilterDatabase" localSheetId="27" hidden="1">TRANSPORTE!$B$39:$C$46</definedName>
    <definedName name="_Key1" localSheetId="6" hidden="1">#REF!</definedName>
    <definedName name="_Key1" localSheetId="26" hidden="1">#REF!</definedName>
    <definedName name="_Key1" localSheetId="4" hidden="1">#REF!</definedName>
    <definedName name="_Key1" localSheetId="27" hidden="1">#REF!</definedName>
    <definedName name="_Key1" hidden="1">#REF!</definedName>
    <definedName name="_Key2" localSheetId="6" hidden="1">#REF!</definedName>
    <definedName name="_Key2" localSheetId="26" hidden="1">#REF!</definedName>
    <definedName name="_Key2" localSheetId="4" hidden="1">#REF!</definedName>
    <definedName name="_Key2" localSheetId="27" hidden="1">#REF!</definedName>
    <definedName name="_Key2" hidden="1">#REF!</definedName>
    <definedName name="_Order1" hidden="1">0</definedName>
    <definedName name="_Order2" hidden="1">0</definedName>
    <definedName name="_Regression_Out" localSheetId="6" hidden="1">#REF!</definedName>
    <definedName name="_Regression_Out" localSheetId="26" hidden="1">#REF!</definedName>
    <definedName name="_Regression_Out" localSheetId="4" hidden="1">#REF!</definedName>
    <definedName name="_Regression_Out" localSheetId="27" hidden="1">#REF!</definedName>
    <definedName name="_Regression_Out" hidden="1">#REF!</definedName>
    <definedName name="_Regression_X" localSheetId="6" hidden="1">#REF!</definedName>
    <definedName name="_Regression_X" localSheetId="26" hidden="1">#REF!</definedName>
    <definedName name="_Regression_X" localSheetId="4" hidden="1">#REF!</definedName>
    <definedName name="_Regression_X" localSheetId="27" hidden="1">#REF!</definedName>
    <definedName name="_Regression_X" hidden="1">#REF!</definedName>
    <definedName name="_Regression_Y" localSheetId="6" hidden="1">#REF!</definedName>
    <definedName name="_Regression_Y" localSheetId="26" hidden="1">#REF!</definedName>
    <definedName name="_Regression_Y" localSheetId="4" hidden="1">#REF!</definedName>
    <definedName name="_Regression_Y" localSheetId="27" hidden="1">#REF!</definedName>
    <definedName name="_Regression_Y" hidden="1">#REF!</definedName>
    <definedName name="_Sort" localSheetId="6" hidden="1">#REF!</definedName>
    <definedName name="_Sort" localSheetId="26" hidden="1">#REF!</definedName>
    <definedName name="_Sort" localSheetId="4" hidden="1">#REF!</definedName>
    <definedName name="_Sort" localSheetId="27" hidden="1">#REF!</definedName>
    <definedName name="_Sort" hidden="1">#REF!</definedName>
    <definedName name="_Table2_Out" localSheetId="6" hidden="1">#REF!</definedName>
    <definedName name="_Table2_Out" localSheetId="26" hidden="1">#REF!</definedName>
    <definedName name="_Table2_Out" localSheetId="4" hidden="1">#REF!</definedName>
    <definedName name="_Table2_Out" localSheetId="27" hidden="1">#REF!</definedName>
    <definedName name="_Table2_Out" hidden="1">#REF!</definedName>
    <definedName name="A.A..A" localSheetId="6" hidden="1">{"total",#N/A,FALSE,"TD 0% ";"total",#N/A,FALSE,"TD 12%";"total",#N/A,FALSE,"TD 10%"}</definedName>
    <definedName name="A.A..A" localSheetId="29" hidden="1">{"total",#N/A,FALSE,"TD 0% ";"total",#N/A,FALSE,"TD 12%";"total",#N/A,FALSE,"TD 10%"}</definedName>
    <definedName name="A.A..A" localSheetId="26" hidden="1">{"total",#N/A,FALSE,"TD 0% ";"total",#N/A,FALSE,"TD 12%";"total",#N/A,FALSE,"TD 10%"}</definedName>
    <definedName name="A.A..A" localSheetId="4" hidden="1">{"total",#N/A,FALSE,"TD 0% ";"total",#N/A,FALSE,"TD 12%";"total",#N/A,FALSE,"TD 10%"}</definedName>
    <definedName name="A.A..A" localSheetId="28" hidden="1">{"total",#N/A,FALSE,"TD 0% ";"total",#N/A,FALSE,"TD 12%";"total",#N/A,FALSE,"TD 10%"}</definedName>
    <definedName name="A.A..A" localSheetId="23" hidden="1">{"total",#N/A,FALSE,"TD 0% ";"total",#N/A,FALSE,"TD 12%";"total",#N/A,FALSE,"TD 10%"}</definedName>
    <definedName name="A.A..A" localSheetId="27" hidden="1">{"total",#N/A,FALSE,"TD 0% ";"total",#N/A,FALSE,"TD 12%";"total",#N/A,FALSE,"TD 10%"}</definedName>
    <definedName name="A.A..A" hidden="1">{"total",#N/A,FALSE,"TD 0% ";"total",#N/A,FALSE,"TD 12%";"total",#N/A,FALSE,"TD 10%"}</definedName>
    <definedName name="AA" localSheetId="6" hidden="1">{"total",#N/A,FALSE,"TD 0% ";"total",#N/A,FALSE,"TD 12%";"total",#N/A,FALSE,"TD 10%"}</definedName>
    <definedName name="AA" localSheetId="29" hidden="1">{"total",#N/A,FALSE,"TD 0% ";"total",#N/A,FALSE,"TD 12%";"total",#N/A,FALSE,"TD 10%"}</definedName>
    <definedName name="AA" localSheetId="26" hidden="1">{"total",#N/A,FALSE,"TD 0% ";"total",#N/A,FALSE,"TD 12%";"total",#N/A,FALSE,"TD 10%"}</definedName>
    <definedName name="AA" localSheetId="4" hidden="1">{"total",#N/A,FALSE,"TD 0% ";"total",#N/A,FALSE,"TD 12%";"total",#N/A,FALSE,"TD 10%"}</definedName>
    <definedName name="AA" localSheetId="28" hidden="1">{"total",#N/A,FALSE,"TD 0% ";"total",#N/A,FALSE,"TD 12%";"total",#N/A,FALSE,"TD 10%"}</definedName>
    <definedName name="AA" localSheetId="23" hidden="1">{"total",#N/A,FALSE,"TD 0% ";"total",#N/A,FALSE,"TD 12%";"total",#N/A,FALSE,"TD 10%"}</definedName>
    <definedName name="AA" localSheetId="27" hidden="1">{"total",#N/A,FALSE,"TD 0% ";"total",#N/A,FALSE,"TD 12%";"total",#N/A,FALSE,"TD 10%"}</definedName>
    <definedName name="AA" hidden="1">{"total",#N/A,FALSE,"TD 0% ";"total",#N/A,FALSE,"TD 12%";"total",#N/A,FALSE,"TD 10%"}</definedName>
    <definedName name="AC" localSheetId="6" hidden="1">{#N/A,#N/A,TRUE,"INGENIERIA";#N/A,#N/A,TRUE,"COMPRAS";#N/A,#N/A,TRUE,"DIRECCION";#N/A,#N/A,TRUE,"RESUMEN"}</definedName>
    <definedName name="AC" localSheetId="29" hidden="1">{#N/A,#N/A,TRUE,"INGENIERIA";#N/A,#N/A,TRUE,"COMPRAS";#N/A,#N/A,TRUE,"DIRECCION";#N/A,#N/A,TRUE,"RESUMEN"}</definedName>
    <definedName name="AC" localSheetId="26" hidden="1">{#N/A,#N/A,TRUE,"INGENIERIA";#N/A,#N/A,TRUE,"COMPRAS";#N/A,#N/A,TRUE,"DIRECCION";#N/A,#N/A,TRUE,"RESUMEN"}</definedName>
    <definedName name="AC" localSheetId="4" hidden="1">{#N/A,#N/A,TRUE,"INGENIERIA";#N/A,#N/A,TRUE,"COMPRAS";#N/A,#N/A,TRUE,"DIRECCION";#N/A,#N/A,TRUE,"RESUMEN"}</definedName>
    <definedName name="AC" localSheetId="28" hidden="1">{#N/A,#N/A,TRUE,"INGENIERIA";#N/A,#N/A,TRUE,"COMPRAS";#N/A,#N/A,TRUE,"DIRECCION";#N/A,#N/A,TRUE,"RESUMEN"}</definedName>
    <definedName name="AC" localSheetId="23" hidden="1">{#N/A,#N/A,TRUE,"INGENIERIA";#N/A,#N/A,TRUE,"COMPRAS";#N/A,#N/A,TRUE,"DIRECCION";#N/A,#N/A,TRUE,"RESUMEN"}</definedName>
    <definedName name="AC" localSheetId="27" hidden="1">{#N/A,#N/A,TRUE,"INGENIERIA";#N/A,#N/A,TRUE,"COMPRAS";#N/A,#N/A,TRUE,"DIRECCION";#N/A,#N/A,TRUE,"RESUMEN"}</definedName>
    <definedName name="AC" hidden="1">{#N/A,#N/A,TRUE,"INGENIERIA";#N/A,#N/A,TRUE,"COMPRAS";#N/A,#N/A,TRUE,"DIRECCION";#N/A,#N/A,TRUE,"RESUMEN"}</definedName>
    <definedName name="AccessDatabase" hidden="1">"C:\C-314\VOLUMENES\volfin4.mdb"</definedName>
    <definedName name="AD" localSheetId="6" hidden="1">{#N/A,#N/A,TRUE,"INGENIERIA";#N/A,#N/A,TRUE,"COMPRAS";#N/A,#N/A,TRUE,"DIRECCION";#N/A,#N/A,TRUE,"RESUMEN"}</definedName>
    <definedName name="AD" localSheetId="29" hidden="1">{#N/A,#N/A,TRUE,"INGENIERIA";#N/A,#N/A,TRUE,"COMPRAS";#N/A,#N/A,TRUE,"DIRECCION";#N/A,#N/A,TRUE,"RESUMEN"}</definedName>
    <definedName name="AD" localSheetId="26" hidden="1">{#N/A,#N/A,TRUE,"INGENIERIA";#N/A,#N/A,TRUE,"COMPRAS";#N/A,#N/A,TRUE,"DIRECCION";#N/A,#N/A,TRUE,"RESUMEN"}</definedName>
    <definedName name="AD" localSheetId="4" hidden="1">{#N/A,#N/A,TRUE,"INGENIERIA";#N/A,#N/A,TRUE,"COMPRAS";#N/A,#N/A,TRUE,"DIRECCION";#N/A,#N/A,TRUE,"RESUMEN"}</definedName>
    <definedName name="AD" localSheetId="28" hidden="1">{#N/A,#N/A,TRUE,"INGENIERIA";#N/A,#N/A,TRUE,"COMPRAS";#N/A,#N/A,TRUE,"DIRECCION";#N/A,#N/A,TRUE,"RESUMEN"}</definedName>
    <definedName name="AD" localSheetId="23" hidden="1">{#N/A,#N/A,TRUE,"INGENIERIA";#N/A,#N/A,TRUE,"COMPRAS";#N/A,#N/A,TRUE,"DIRECCION";#N/A,#N/A,TRUE,"RESUMEN"}</definedName>
    <definedName name="AD" localSheetId="27" hidden="1">{#N/A,#N/A,TRUE,"INGENIERIA";#N/A,#N/A,TRUE,"COMPRAS";#N/A,#N/A,TRUE,"DIRECCION";#N/A,#N/A,TRUE,"RESUMEN"}</definedName>
    <definedName name="AD" hidden="1">{#N/A,#N/A,TRUE,"INGENIERIA";#N/A,#N/A,TRUE,"COMPRAS";#N/A,#N/A,TRUE,"DIRECCION";#N/A,#N/A,TRUE,"RESUMEN"}</definedName>
    <definedName name="AE" localSheetId="6" hidden="1">{#N/A,#N/A,TRUE,"INGENIERIA";#N/A,#N/A,TRUE,"COMPRAS";#N/A,#N/A,TRUE,"DIRECCION";#N/A,#N/A,TRUE,"RESUMEN"}</definedName>
    <definedName name="AE" localSheetId="29" hidden="1">{#N/A,#N/A,TRUE,"INGENIERIA";#N/A,#N/A,TRUE,"COMPRAS";#N/A,#N/A,TRUE,"DIRECCION";#N/A,#N/A,TRUE,"RESUMEN"}</definedName>
    <definedName name="AE" localSheetId="26" hidden="1">{#N/A,#N/A,TRUE,"INGENIERIA";#N/A,#N/A,TRUE,"COMPRAS";#N/A,#N/A,TRUE,"DIRECCION";#N/A,#N/A,TRUE,"RESUMEN"}</definedName>
    <definedName name="AE" localSheetId="4" hidden="1">{#N/A,#N/A,TRUE,"INGENIERIA";#N/A,#N/A,TRUE,"COMPRAS";#N/A,#N/A,TRUE,"DIRECCION";#N/A,#N/A,TRUE,"RESUMEN"}</definedName>
    <definedName name="AE" localSheetId="28" hidden="1">{#N/A,#N/A,TRUE,"INGENIERIA";#N/A,#N/A,TRUE,"COMPRAS";#N/A,#N/A,TRUE,"DIRECCION";#N/A,#N/A,TRUE,"RESUMEN"}</definedName>
    <definedName name="AE" localSheetId="23" hidden="1">{#N/A,#N/A,TRUE,"INGENIERIA";#N/A,#N/A,TRUE,"COMPRAS";#N/A,#N/A,TRUE,"DIRECCION";#N/A,#N/A,TRUE,"RESUMEN"}</definedName>
    <definedName name="AE" localSheetId="27" hidden="1">{#N/A,#N/A,TRUE,"INGENIERIA";#N/A,#N/A,TRUE,"COMPRAS";#N/A,#N/A,TRUE,"DIRECCION";#N/A,#N/A,TRUE,"RESUMEN"}</definedName>
    <definedName name="AE" hidden="1">{#N/A,#N/A,TRUE,"INGENIERIA";#N/A,#N/A,TRUE,"COMPRAS";#N/A,#N/A,TRUE,"DIRECCION";#N/A,#N/A,TRUE,"RESUMEN"}</definedName>
    <definedName name="AF" localSheetId="6" hidden="1">{#N/A,#N/A,TRUE,"INGENIERIA";#N/A,#N/A,TRUE,"COMPRAS";#N/A,#N/A,TRUE,"DIRECCION";#N/A,#N/A,TRUE,"RESUMEN"}</definedName>
    <definedName name="AF" localSheetId="29" hidden="1">{#N/A,#N/A,TRUE,"INGENIERIA";#N/A,#N/A,TRUE,"COMPRAS";#N/A,#N/A,TRUE,"DIRECCION";#N/A,#N/A,TRUE,"RESUMEN"}</definedName>
    <definedName name="AF" localSheetId="26" hidden="1">{#N/A,#N/A,TRUE,"INGENIERIA";#N/A,#N/A,TRUE,"COMPRAS";#N/A,#N/A,TRUE,"DIRECCION";#N/A,#N/A,TRUE,"RESUMEN"}</definedName>
    <definedName name="AF" localSheetId="4" hidden="1">{#N/A,#N/A,TRUE,"INGENIERIA";#N/A,#N/A,TRUE,"COMPRAS";#N/A,#N/A,TRUE,"DIRECCION";#N/A,#N/A,TRUE,"RESUMEN"}</definedName>
    <definedName name="AF" localSheetId="28" hidden="1">{#N/A,#N/A,TRUE,"INGENIERIA";#N/A,#N/A,TRUE,"COMPRAS";#N/A,#N/A,TRUE,"DIRECCION";#N/A,#N/A,TRUE,"RESUMEN"}</definedName>
    <definedName name="AF" localSheetId="23" hidden="1">{#N/A,#N/A,TRUE,"INGENIERIA";#N/A,#N/A,TRUE,"COMPRAS";#N/A,#N/A,TRUE,"DIRECCION";#N/A,#N/A,TRUE,"RESUMEN"}</definedName>
    <definedName name="AF" localSheetId="27" hidden="1">{#N/A,#N/A,TRUE,"INGENIERIA";#N/A,#N/A,TRUE,"COMPRAS";#N/A,#N/A,TRUE,"DIRECCION";#N/A,#N/A,TRUE,"RESUMEN"}</definedName>
    <definedName name="AF" hidden="1">{#N/A,#N/A,TRUE,"INGENIERIA";#N/A,#N/A,TRUE,"COMPRAS";#N/A,#N/A,TRUE,"DIRECCION";#N/A,#N/A,TRUE,"RESUMEN"}</definedName>
    <definedName name="AG" localSheetId="6"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29"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26"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28"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2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27"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H" localSheetId="6" hidden="1">{#N/A,#N/A,TRUE,"INGENIERIA";#N/A,#N/A,TRUE,"COMPRAS";#N/A,#N/A,TRUE,"DIRECCION";#N/A,#N/A,TRUE,"RESUMEN"}</definedName>
    <definedName name="AH" localSheetId="29" hidden="1">{#N/A,#N/A,TRUE,"INGENIERIA";#N/A,#N/A,TRUE,"COMPRAS";#N/A,#N/A,TRUE,"DIRECCION";#N/A,#N/A,TRUE,"RESUMEN"}</definedName>
    <definedName name="AH" localSheetId="26" hidden="1">{#N/A,#N/A,TRUE,"INGENIERIA";#N/A,#N/A,TRUE,"COMPRAS";#N/A,#N/A,TRUE,"DIRECCION";#N/A,#N/A,TRUE,"RESUMEN"}</definedName>
    <definedName name="AH" localSheetId="4" hidden="1">{#N/A,#N/A,TRUE,"INGENIERIA";#N/A,#N/A,TRUE,"COMPRAS";#N/A,#N/A,TRUE,"DIRECCION";#N/A,#N/A,TRUE,"RESUMEN"}</definedName>
    <definedName name="AH" localSheetId="28" hidden="1">{#N/A,#N/A,TRUE,"INGENIERIA";#N/A,#N/A,TRUE,"COMPRAS";#N/A,#N/A,TRUE,"DIRECCION";#N/A,#N/A,TRUE,"RESUMEN"}</definedName>
    <definedName name="AH" localSheetId="23" hidden="1">{#N/A,#N/A,TRUE,"INGENIERIA";#N/A,#N/A,TRUE,"COMPRAS";#N/A,#N/A,TRUE,"DIRECCION";#N/A,#N/A,TRUE,"RESUMEN"}</definedName>
    <definedName name="AH" localSheetId="27" hidden="1">{#N/A,#N/A,TRUE,"INGENIERIA";#N/A,#N/A,TRUE,"COMPRAS";#N/A,#N/A,TRUE,"DIRECCION";#N/A,#N/A,TRUE,"RESUMEN"}</definedName>
    <definedName name="AH" hidden="1">{#N/A,#N/A,TRUE,"INGENIERIA";#N/A,#N/A,TRUE,"COMPRAS";#N/A,#N/A,TRUE,"DIRECCION";#N/A,#N/A,TRUE,"RESUMEN"}</definedName>
    <definedName name="Analyst" localSheetId="6" hidden="1">#REF!</definedName>
    <definedName name="Analyst" localSheetId="26" hidden="1">#REF!</definedName>
    <definedName name="Analyst" localSheetId="4" hidden="1">#REF!</definedName>
    <definedName name="Analyst" localSheetId="27" hidden="1">#REF!</definedName>
    <definedName name="Analyst" hidden="1">#REF!</definedName>
    <definedName name="anscount" hidden="1">10</definedName>
    <definedName name="_xlnm.Print_Area" localSheetId="11">'1.6'!$A$1:$G$56</definedName>
    <definedName name="_xlnm.Print_Area" localSheetId="18">'2.1'!$A$1:$G$80</definedName>
    <definedName name="_xlnm.Print_Area" localSheetId="29">'ENSAYOS DE LABORATORIO'!$A$1:$O$21</definedName>
    <definedName name="_xlnm.Print_Area" localSheetId="23">MATERIALES!$A$1:$H$473</definedName>
    <definedName name="_xlnm.Print_Area" localSheetId="1">'PRESUPUESTO GENERAL SISFV'!$A$1:$P$39</definedName>
    <definedName name="_xlnm.Print_Area" localSheetId="27">TRANSPORTE!$A$1:$F$150</definedName>
    <definedName name="arg" localSheetId="6" hidden="1">#REF!</definedName>
    <definedName name="arg" localSheetId="29" hidden="1">#REF!</definedName>
    <definedName name="arg" localSheetId="26" hidden="1">#REF!</definedName>
    <definedName name="arg" localSheetId="4" hidden="1">#REF!</definedName>
    <definedName name="arg" localSheetId="27" hidden="1">#REF!</definedName>
    <definedName name="arg" hidden="1">#REF!</definedName>
    <definedName name="BS_Data_Col" localSheetId="6" hidden="1">#REF!</definedName>
    <definedName name="BS_Data_Col" localSheetId="26" hidden="1">#REF!</definedName>
    <definedName name="BS_Data_Col" localSheetId="4" hidden="1">#REF!</definedName>
    <definedName name="BS_Data_Col" localSheetId="27" hidden="1">#REF!</definedName>
    <definedName name="BS_Data_Col" hidden="1">#REF!</definedName>
    <definedName name="BSpb" localSheetId="6" hidden="1">#REF!</definedName>
    <definedName name="BSpb" localSheetId="26" hidden="1">#REF!</definedName>
    <definedName name="BSpb" localSheetId="4" hidden="1">#REF!</definedName>
    <definedName name="BSpb" localSheetId="27" hidden="1">#REF!</definedName>
    <definedName name="BSpb" hidden="1">#REF!</definedName>
    <definedName name="Capitalpb" localSheetId="6" hidden="1">#REF!</definedName>
    <definedName name="Capitalpb" localSheetId="26" hidden="1">#REF!</definedName>
    <definedName name="Capitalpb" localSheetId="4" hidden="1">#REF!</definedName>
    <definedName name="Capitalpb" localSheetId="27" hidden="1">#REF!</definedName>
    <definedName name="Capitalpb" hidden="1">#REF!</definedName>
    <definedName name="CapitalStructure" localSheetId="6" hidden="1">#REF!</definedName>
    <definedName name="CapitalStructure" localSheetId="26" hidden="1">#REF!</definedName>
    <definedName name="CapitalStructure" localSheetId="4" hidden="1">#REF!</definedName>
    <definedName name="CapitalStructure" localSheetId="27" hidden="1">#REF!</definedName>
    <definedName name="CapitalStructure" hidden="1">#REF!</definedName>
    <definedName name="Cashpb" localSheetId="6" hidden="1">#REF!</definedName>
    <definedName name="Cashpb" localSheetId="26" hidden="1">#REF!</definedName>
    <definedName name="Cashpb" localSheetId="4" hidden="1">#REF!</definedName>
    <definedName name="Cashpb" localSheetId="27" hidden="1">#REF!</definedName>
    <definedName name="Cashpb" hidden="1">#REF!</definedName>
    <definedName name="Change_in_Cash" localSheetId="6" hidden="1">#REF!</definedName>
    <definedName name="Change_in_Cash" localSheetId="26" hidden="1">#REF!</definedName>
    <definedName name="Change_in_Cash" localSheetId="4" hidden="1">#REF!</definedName>
    <definedName name="Change_in_Cash" localSheetId="27" hidden="1">#REF!</definedName>
    <definedName name="Change_in_Cash" hidden="1">#REF!</definedName>
    <definedName name="Check_to_Cash" localSheetId="6" hidden="1">#REF!</definedName>
    <definedName name="Check_to_Cash" localSheetId="26" hidden="1">#REF!</definedName>
    <definedName name="Check_to_Cash" localSheetId="4" hidden="1">#REF!</definedName>
    <definedName name="Check_to_Cash" localSheetId="27" hidden="1">#REF!</definedName>
    <definedName name="Check_to_Cash" hidden="1">#REF!</definedName>
    <definedName name="czz" localSheetId="6" hidden="1">#REF!</definedName>
    <definedName name="czz" localSheetId="29" hidden="1">#REF!</definedName>
    <definedName name="czz" localSheetId="26" hidden="1">#REF!</definedName>
    <definedName name="czz" localSheetId="4" hidden="1">#REF!</definedName>
    <definedName name="czz" localSheetId="27" hidden="1">#REF!</definedName>
    <definedName name="czz" hidden="1">#REF!</definedName>
    <definedName name="DADADAD" localSheetId="6" hidden="1">{#N/A,#N/A,TRUE,"CODIGO DEPENDENCIA"}</definedName>
    <definedName name="DADADAD" localSheetId="29" hidden="1">{#N/A,#N/A,TRUE,"CODIGO DEPENDENCIA"}</definedName>
    <definedName name="DADADAD" localSheetId="26" hidden="1">{#N/A,#N/A,TRUE,"CODIGO DEPENDENCIA"}</definedName>
    <definedName name="DADADAD" localSheetId="4" hidden="1">{#N/A,#N/A,TRUE,"CODIGO DEPENDENCIA"}</definedName>
    <definedName name="DADADAD" localSheetId="28" hidden="1">{#N/A,#N/A,TRUE,"CODIGO DEPENDENCIA"}</definedName>
    <definedName name="DADADAD" localSheetId="23" hidden="1">{#N/A,#N/A,TRUE,"CODIGO DEPENDENCIA"}</definedName>
    <definedName name="DADADAD" localSheetId="27" hidden="1">{#N/A,#N/A,TRUE,"CODIGO DEPENDENCIA"}</definedName>
    <definedName name="DADADAD" hidden="1">{#N/A,#N/A,TRUE,"CODIGO DEPENDENCIA"}</definedName>
    <definedName name="Dealpb" localSheetId="6" hidden="1">#REF!</definedName>
    <definedName name="Dealpb" localSheetId="26" hidden="1">#REF!</definedName>
    <definedName name="Dealpb" localSheetId="4" hidden="1">#REF!</definedName>
    <definedName name="Dealpb" localSheetId="27" hidden="1">#REF!</definedName>
    <definedName name="Dealpb" hidden="1">#REF!</definedName>
    <definedName name="DepreciationPB" localSheetId="6" hidden="1">#REF!</definedName>
    <definedName name="DepreciationPB" localSheetId="26" hidden="1">#REF!</definedName>
    <definedName name="DepreciationPB" localSheetId="4" hidden="1">#REF!</definedName>
    <definedName name="DepreciationPB" localSheetId="27" hidden="1">#REF!</definedName>
    <definedName name="DepreciationPB" hidden="1">#REF!</definedName>
    <definedName name="DZ.Main" localSheetId="6" hidden="1">#REF!</definedName>
    <definedName name="DZ.Main" localSheetId="26" hidden="1">#REF!</definedName>
    <definedName name="DZ.Main" localSheetId="4" hidden="1">#REF!</definedName>
    <definedName name="DZ.Main" localSheetId="27" hidden="1">#REF!</definedName>
    <definedName name="DZ.Main" hidden="1">#REF!</definedName>
    <definedName name="ev.Calculation" hidden="1">-4135</definedName>
    <definedName name="ev.Initialized" hidden="1">FALSE</definedName>
    <definedName name="Executivepb" localSheetId="6" hidden="1">#REF!</definedName>
    <definedName name="Executivepb" localSheetId="26" hidden="1">#REF!</definedName>
    <definedName name="Executivepb" localSheetId="4" hidden="1">#REF!</definedName>
    <definedName name="Executivepb" localSheetId="27" hidden="1">#REF!</definedName>
    <definedName name="Executivepb" hidden="1">#REF!</definedName>
    <definedName name="Factpb" localSheetId="6" hidden="1">#REF!</definedName>
    <definedName name="Factpb" localSheetId="26" hidden="1">#REF!</definedName>
    <definedName name="Factpb" localSheetId="4" hidden="1">#REF!</definedName>
    <definedName name="Factpb" localSheetId="27" hidden="1">#REF!</definedName>
    <definedName name="Factpb" hidden="1">#REF!</definedName>
    <definedName name="Factpb2" localSheetId="6" hidden="1">#REF!</definedName>
    <definedName name="Factpb2" localSheetId="26" hidden="1">#REF!</definedName>
    <definedName name="Factpb2" localSheetId="4" hidden="1">#REF!</definedName>
    <definedName name="Factpb2" localSheetId="27" hidden="1">#REF!</definedName>
    <definedName name="Factpb2" hidden="1">#REF!</definedName>
    <definedName name="Financialpb" localSheetId="6" hidden="1">#REF!</definedName>
    <definedName name="Financialpb" localSheetId="26" hidden="1">#REF!</definedName>
    <definedName name="Financialpb" localSheetId="4" hidden="1">#REF!</definedName>
    <definedName name="Financialpb" localSheetId="27" hidden="1">#REF!</definedName>
    <definedName name="Financialpb" hidden="1">#REF!</definedName>
    <definedName name="Financialpb2" localSheetId="6" hidden="1">#REF!</definedName>
    <definedName name="Financialpb2" localSheetId="26" hidden="1">#REF!</definedName>
    <definedName name="Financialpb2" localSheetId="4" hidden="1">#REF!</definedName>
    <definedName name="Financialpb2" localSheetId="27" hidden="1">#REF!</definedName>
    <definedName name="Financialpb2" hidden="1">#REF!</definedName>
    <definedName name="HisYear_0" localSheetId="6" hidden="1">#REF!</definedName>
    <definedName name="HisYear_0" localSheetId="26" hidden="1">#REF!</definedName>
    <definedName name="HisYear_0" localSheetId="4" hidden="1">#REF!</definedName>
    <definedName name="HisYear_0" localSheetId="27" hidden="1">#REF!</definedName>
    <definedName name="HisYear_0" hidden="1">#REF!</definedName>
    <definedName name="HisYear_1" localSheetId="6" hidden="1">#REF!</definedName>
    <definedName name="HisYear_1" localSheetId="26" hidden="1">#REF!</definedName>
    <definedName name="HisYear_1" localSheetId="4" hidden="1">#REF!</definedName>
    <definedName name="HisYear_1" localSheetId="27" hidden="1">#REF!</definedName>
    <definedName name="HisYear_1" hidden="1">#REF!</definedName>
    <definedName name="HisYear_2" localSheetId="6" hidden="1">#REF!</definedName>
    <definedName name="HisYear_2" localSheetId="26" hidden="1">#REF!</definedName>
    <definedName name="HisYear_2" localSheetId="4" hidden="1">#REF!</definedName>
    <definedName name="HisYear_2" localSheetId="27" hidden="1">#REF!</definedName>
    <definedName name="HisYear_2" hidden="1">#REF!</definedName>
    <definedName name="HisYear_3" localSheetId="6" hidden="1">#REF!</definedName>
    <definedName name="HisYear_3" localSheetId="26" hidden="1">#REF!</definedName>
    <definedName name="HisYear_3" localSheetId="4" hidden="1">#REF!</definedName>
    <definedName name="HisYear_3" localSheetId="27" hidden="1">#REF!</definedName>
    <definedName name="HisYear_3" hidden="1">#REF!</definedName>
    <definedName name="hn.ConvertZero1" localSheetId="6" hidden="1">#REF!,#REF!,#REF!,#REF!,#REF!,#REF!,#REF!,#REF!,#REF!,#REF!</definedName>
    <definedName name="hn.ConvertZero1" localSheetId="29" hidden="1">#REF!,#REF!,#REF!,#REF!,#REF!,#REF!,#REF!,#REF!,#REF!,#REF!</definedName>
    <definedName name="hn.ConvertZero1" localSheetId="26" hidden="1">#REF!,#REF!,#REF!,#REF!,#REF!,#REF!,#REF!,#REF!,#REF!,#REF!</definedName>
    <definedName name="hn.ConvertZero1" localSheetId="4" hidden="1">#REF!,#REF!,#REF!,#REF!,#REF!,#REF!,#REF!,#REF!,#REF!,#REF!</definedName>
    <definedName name="hn.ConvertZero1" localSheetId="27" hidden="1">#REF!,#REF!,#REF!,#REF!,#REF!,#REF!,#REF!,#REF!,#REF!,#REF!</definedName>
    <definedName name="hn.ConvertZero1" hidden="1">#REF!,#REF!,#REF!,#REF!,#REF!,#REF!,#REF!,#REF!,#REF!,#REF!</definedName>
    <definedName name="hn.ConvertZero2" localSheetId="6" hidden="1">#REF!,#REF!,#REF!,#REF!,#REF!,#REF!,#REF!,#REF!</definedName>
    <definedName name="hn.ConvertZero2" localSheetId="29" hidden="1">#REF!,#REF!,#REF!,#REF!,#REF!,#REF!,#REF!,#REF!</definedName>
    <definedName name="hn.ConvertZero2" localSheetId="26" hidden="1">#REF!,#REF!,#REF!,#REF!,#REF!,#REF!,#REF!,#REF!</definedName>
    <definedName name="hn.ConvertZero2" localSheetId="4" hidden="1">#REF!,#REF!,#REF!,#REF!,#REF!,#REF!,#REF!,#REF!</definedName>
    <definedName name="hn.ConvertZero2" localSheetId="27" hidden="1">#REF!,#REF!,#REF!,#REF!,#REF!,#REF!,#REF!,#REF!</definedName>
    <definedName name="hn.ConvertZero2" hidden="1">#REF!,#REF!,#REF!,#REF!,#REF!,#REF!,#REF!,#REF!</definedName>
    <definedName name="hn.ConvertZero3" localSheetId="6" hidden="1">#REF!,#REF!,#REF!,#REF!,#REF!</definedName>
    <definedName name="hn.ConvertZero3" localSheetId="29" hidden="1">#REF!,#REF!,#REF!,#REF!,#REF!</definedName>
    <definedName name="hn.ConvertZero3" localSheetId="26" hidden="1">#REF!,#REF!,#REF!,#REF!,#REF!</definedName>
    <definedName name="hn.ConvertZero3" localSheetId="4" hidden="1">#REF!,#REF!,#REF!,#REF!,#REF!</definedName>
    <definedName name="hn.ConvertZero3" localSheetId="27" hidden="1">#REF!,#REF!,#REF!,#REF!,#REF!</definedName>
    <definedName name="hn.ConvertZero3" hidden="1">#REF!,#REF!,#REF!,#REF!,#REF!</definedName>
    <definedName name="hn.ConvertZero4" localSheetId="6" hidden="1">#REF!,#REF!,#REF!,#REF!,#REF!,#REF!,#REF!,#REF!</definedName>
    <definedName name="hn.ConvertZero4" localSheetId="29" hidden="1">#REF!,#REF!,#REF!,#REF!,#REF!,#REF!,#REF!,#REF!</definedName>
    <definedName name="hn.ConvertZero4" localSheetId="26" hidden="1">#REF!,#REF!,#REF!,#REF!,#REF!,#REF!,#REF!,#REF!</definedName>
    <definedName name="hn.ConvertZero4" localSheetId="4" hidden="1">#REF!,#REF!,#REF!,#REF!,#REF!,#REF!,#REF!,#REF!</definedName>
    <definedName name="hn.ConvertZero4" localSheetId="27" hidden="1">#REF!,#REF!,#REF!,#REF!,#REF!,#REF!,#REF!,#REF!</definedName>
    <definedName name="hn.ConvertZero4" hidden="1">#REF!,#REF!,#REF!,#REF!,#REF!,#REF!,#REF!,#REF!</definedName>
    <definedName name="hn.ConvertZeroUnhide1" localSheetId="6" hidden="1">#REF!,#REF!,#REF!</definedName>
    <definedName name="hn.ConvertZeroUnhide1" localSheetId="29" hidden="1">#REF!,#REF!,#REF!</definedName>
    <definedName name="hn.ConvertZeroUnhide1" localSheetId="26" hidden="1">#REF!,#REF!,#REF!</definedName>
    <definedName name="hn.ConvertZeroUnhide1" localSheetId="4" hidden="1">#REF!,#REF!,#REF!</definedName>
    <definedName name="hn.ConvertZeroUnhide1" localSheetId="27" hidden="1">#REF!,#REF!,#REF!</definedName>
    <definedName name="hn.ConvertZeroUnhide1" hidden="1">#REF!,#REF!,#REF!</definedName>
    <definedName name="hn.Delete015" localSheetId="6" hidden="1">#REF!,#REF!,#REF!,#REF!</definedName>
    <definedName name="hn.Delete015" localSheetId="29" hidden="1">#REF!,#REF!,#REF!,#REF!</definedName>
    <definedName name="hn.Delete015" localSheetId="26" hidden="1">#REF!,#REF!,#REF!,#REF!</definedName>
    <definedName name="hn.Delete015" localSheetId="4" hidden="1">#REF!,#REF!,#REF!,#REF!</definedName>
    <definedName name="hn.Delete015" localSheetId="27" hidden="1">#REF!,#REF!,#REF!,#REF!</definedName>
    <definedName name="hn.Delete015" hidden="1">#REF!,#REF!,#REF!,#REF!</definedName>
    <definedName name="hn.DZ_MultByFXRates" localSheetId="6" hidden="1">#REF!,#REF!,#REF!,#REF!</definedName>
    <definedName name="hn.DZ_MultByFXRates" localSheetId="29" hidden="1">#REF!,#REF!,#REF!,#REF!</definedName>
    <definedName name="hn.DZ_MultByFXRates" localSheetId="26" hidden="1">#REF!,#REF!,#REF!,#REF!</definedName>
    <definedName name="hn.DZ_MultByFXRates" localSheetId="4" hidden="1">#REF!,#REF!,#REF!,#REF!</definedName>
    <definedName name="hn.DZ_MultByFXRates" localSheetId="27" hidden="1">#REF!,#REF!,#REF!,#REF!</definedName>
    <definedName name="hn.DZ_MultByFXRates" hidden="1">#REF!,#REF!,#REF!,#REF!</definedName>
    <definedName name="hn.ExtDb" hidden="1">FALSE</definedName>
    <definedName name="hn.LTM_MultByFXRates" localSheetId="6" hidden="1">#REF!,#REF!,#REF!,#REF!,#REF!,#REF!,#REF!</definedName>
    <definedName name="hn.LTM_MultByFXRates" localSheetId="29" hidden="1">#REF!,#REF!,#REF!,#REF!,#REF!,#REF!,#REF!</definedName>
    <definedName name="hn.LTM_MultByFXRates" localSheetId="26" hidden="1">#REF!,#REF!,#REF!,#REF!,#REF!,#REF!,#REF!</definedName>
    <definedName name="hn.LTM_MultByFXRates" localSheetId="4" hidden="1">#REF!,#REF!,#REF!,#REF!,#REF!,#REF!,#REF!</definedName>
    <definedName name="hn.LTM_MultByFXRates" localSheetId="27" hidden="1">#REF!,#REF!,#REF!,#REF!,#REF!,#REF!,#REF!</definedName>
    <definedName name="hn.LTM_MultByFXRates" hidden="1">#REF!,#REF!,#REF!,#REF!,#REF!,#REF!,#REF!</definedName>
    <definedName name="hn.ModelType" hidden="1">"DEAL"</definedName>
    <definedName name="hn.ModelVersion" hidden="1">1</definedName>
    <definedName name="hn.MultbyFXRates" localSheetId="6" hidden="1">#REF!,#REF!,#REF!,#REF!,#REF!,#REF!,#REF!</definedName>
    <definedName name="hn.MultbyFXRates" localSheetId="29" hidden="1">#REF!,#REF!,#REF!,#REF!,#REF!,#REF!,#REF!</definedName>
    <definedName name="hn.MultbyFXRates" localSheetId="26" hidden="1">#REF!,#REF!,#REF!,#REF!,#REF!,#REF!,#REF!</definedName>
    <definedName name="hn.MultbyFXRates" localSheetId="4" hidden="1">#REF!,#REF!,#REF!,#REF!,#REF!,#REF!,#REF!</definedName>
    <definedName name="hn.MultbyFXRates" localSheetId="27" hidden="1">#REF!,#REF!,#REF!,#REF!,#REF!,#REF!,#REF!</definedName>
    <definedName name="hn.MultbyFXRates" hidden="1">#REF!,#REF!,#REF!,#REF!,#REF!,#REF!,#REF!</definedName>
    <definedName name="hn.MultByFXRates1" localSheetId="6" hidden="1">#REF!,#REF!,#REF!,#REF!,#REF!</definedName>
    <definedName name="hn.MultByFXRates1" localSheetId="29" hidden="1">#REF!,#REF!,#REF!,#REF!,#REF!</definedName>
    <definedName name="hn.MultByFXRates1" localSheetId="26" hidden="1">#REF!,#REF!,#REF!,#REF!,#REF!</definedName>
    <definedName name="hn.MultByFXRates1" localSheetId="4" hidden="1">#REF!,#REF!,#REF!,#REF!,#REF!</definedName>
    <definedName name="hn.MultByFXRates1" localSheetId="27" hidden="1">#REF!,#REF!,#REF!,#REF!,#REF!</definedName>
    <definedName name="hn.MultByFXRates1" hidden="1">#REF!,#REF!,#REF!,#REF!,#REF!</definedName>
    <definedName name="hn.MultByFXRates2" localSheetId="6" hidden="1">#REF!,#REF!,#REF!,#REF!,#REF!</definedName>
    <definedName name="hn.MultByFXRates2" localSheetId="29" hidden="1">#REF!,#REF!,#REF!,#REF!,#REF!</definedName>
    <definedName name="hn.MultByFXRates2" localSheetId="26" hidden="1">#REF!,#REF!,#REF!,#REF!,#REF!</definedName>
    <definedName name="hn.MultByFXRates2" localSheetId="4" hidden="1">#REF!,#REF!,#REF!,#REF!,#REF!</definedName>
    <definedName name="hn.MultByFXRates2" localSheetId="27" hidden="1">#REF!,#REF!,#REF!,#REF!,#REF!</definedName>
    <definedName name="hn.MultByFXRates2" hidden="1">#REF!,#REF!,#REF!,#REF!,#REF!</definedName>
    <definedName name="hn.MultByFXRates3" localSheetId="6" hidden="1">#REF!,#REF!,#REF!,#REF!,#REF!</definedName>
    <definedName name="hn.MultByFXRates3" localSheetId="29" hidden="1">#REF!,#REF!,#REF!,#REF!,#REF!</definedName>
    <definedName name="hn.MultByFXRates3" localSheetId="26" hidden="1">#REF!,#REF!,#REF!,#REF!,#REF!</definedName>
    <definedName name="hn.MultByFXRates3" localSheetId="4" hidden="1">#REF!,#REF!,#REF!,#REF!,#REF!</definedName>
    <definedName name="hn.MultByFXRates3" localSheetId="27" hidden="1">#REF!,#REF!,#REF!,#REF!,#REF!</definedName>
    <definedName name="hn.MultByFXRates3" hidden="1">#REF!,#REF!,#REF!,#REF!,#REF!</definedName>
    <definedName name="hn.MultbyFxrates4" localSheetId="6" hidden="1">#REF!,#REF!,#REF!,#REF!,#REF!,#REF!,#REF!</definedName>
    <definedName name="hn.MultbyFxrates4" localSheetId="29" hidden="1">#REF!,#REF!,#REF!,#REF!,#REF!,#REF!,#REF!</definedName>
    <definedName name="hn.MultbyFxrates4" localSheetId="26" hidden="1">#REF!,#REF!,#REF!,#REF!,#REF!,#REF!,#REF!</definedName>
    <definedName name="hn.MultbyFxrates4" localSheetId="4" hidden="1">#REF!,#REF!,#REF!,#REF!,#REF!,#REF!,#REF!</definedName>
    <definedName name="hn.MultbyFxrates4" localSheetId="27" hidden="1">#REF!,#REF!,#REF!,#REF!,#REF!,#REF!,#REF!</definedName>
    <definedName name="hn.MultbyFxrates4" hidden="1">#REF!,#REF!,#REF!,#REF!,#REF!,#REF!,#REF!</definedName>
    <definedName name="hn.multbyfxrates5" localSheetId="6" hidden="1">#REF!,#REF!,#REF!,#REF!,#REF!</definedName>
    <definedName name="hn.multbyfxrates5" localSheetId="29" hidden="1">#REF!,#REF!,#REF!,#REF!,#REF!</definedName>
    <definedName name="hn.multbyfxrates5" localSheetId="26" hidden="1">#REF!,#REF!,#REF!,#REF!,#REF!</definedName>
    <definedName name="hn.multbyfxrates5" localSheetId="4" hidden="1">#REF!,#REF!,#REF!,#REF!,#REF!</definedName>
    <definedName name="hn.multbyfxrates5" localSheetId="27" hidden="1">#REF!,#REF!,#REF!,#REF!,#REF!</definedName>
    <definedName name="hn.multbyfxrates5" hidden="1">#REF!,#REF!,#REF!,#REF!,#REF!</definedName>
    <definedName name="hn.multbyfxrates6" localSheetId="6" hidden="1">#REF!,#REF!,#REF!,#REF!,#REF!</definedName>
    <definedName name="hn.multbyfxrates6" localSheetId="29" hidden="1">#REF!,#REF!,#REF!,#REF!,#REF!</definedName>
    <definedName name="hn.multbyfxrates6" localSheetId="26" hidden="1">#REF!,#REF!,#REF!,#REF!,#REF!</definedName>
    <definedName name="hn.multbyfxrates6" localSheetId="4" hidden="1">#REF!,#REF!,#REF!,#REF!,#REF!</definedName>
    <definedName name="hn.multbyfxrates6" localSheetId="27" hidden="1">#REF!,#REF!,#REF!,#REF!,#REF!</definedName>
    <definedName name="hn.multbyfxrates6" hidden="1">#REF!,#REF!,#REF!,#REF!,#REF!</definedName>
    <definedName name="hn.multbyfxrates7" localSheetId="6" hidden="1">#REF!,#REF!,#REF!,#REF!,#REF!</definedName>
    <definedName name="hn.multbyfxrates7" localSheetId="29" hidden="1">#REF!,#REF!,#REF!,#REF!,#REF!</definedName>
    <definedName name="hn.multbyfxrates7" localSheetId="26" hidden="1">#REF!,#REF!,#REF!,#REF!,#REF!</definedName>
    <definedName name="hn.multbyfxrates7" localSheetId="4" hidden="1">#REF!,#REF!,#REF!,#REF!,#REF!</definedName>
    <definedName name="hn.multbyfxrates7" localSheetId="27" hidden="1">#REF!,#REF!,#REF!,#REF!,#REF!</definedName>
    <definedName name="hn.multbyfxrates7" hidden="1">#REF!,#REF!,#REF!,#REF!,#REF!</definedName>
    <definedName name="hn.MultByFXRatesBot1" localSheetId="6" hidden="1">#REF!,#REF!,#REF!,#REF!,#REF!,#REF!,#REF!,#REF!,#REF!,#REF!,#REF!,#REF!</definedName>
    <definedName name="hn.MultByFXRatesBot1" localSheetId="29" hidden="1">#REF!,#REF!,#REF!,#REF!,#REF!,#REF!,#REF!,#REF!,#REF!,#REF!,#REF!,#REF!</definedName>
    <definedName name="hn.MultByFXRatesBot1" localSheetId="26" hidden="1">#REF!,#REF!,#REF!,#REF!,#REF!,#REF!,#REF!,#REF!,#REF!,#REF!,#REF!,#REF!</definedName>
    <definedName name="hn.MultByFXRatesBot1" localSheetId="4" hidden="1">#REF!,#REF!,#REF!,#REF!,#REF!,#REF!,#REF!,#REF!,#REF!,#REF!,#REF!,#REF!</definedName>
    <definedName name="hn.MultByFXRatesBot1" localSheetId="27" hidden="1">#REF!,#REF!,#REF!,#REF!,#REF!,#REF!,#REF!,#REF!,#REF!,#REF!,#REF!,#REF!</definedName>
    <definedName name="hn.MultByFXRatesBot1" hidden="1">#REF!,#REF!,#REF!,#REF!,#REF!,#REF!,#REF!,#REF!,#REF!,#REF!,#REF!,#REF!</definedName>
    <definedName name="hn.MultByFXRatesBot2" localSheetId="6" hidden="1">#REF!,#REF!,#REF!,#REF!,#REF!,#REF!,#REF!,#REF!,#REF!,#REF!,#REF!,#REF!</definedName>
    <definedName name="hn.MultByFXRatesBot2" localSheetId="29" hidden="1">#REF!,#REF!,#REF!,#REF!,#REF!,#REF!,#REF!,#REF!,#REF!,#REF!,#REF!,#REF!</definedName>
    <definedName name="hn.MultByFXRatesBot2" localSheetId="26" hidden="1">#REF!,#REF!,#REF!,#REF!,#REF!,#REF!,#REF!,#REF!,#REF!,#REF!,#REF!,#REF!</definedName>
    <definedName name="hn.MultByFXRatesBot2" localSheetId="4" hidden="1">#REF!,#REF!,#REF!,#REF!,#REF!,#REF!,#REF!,#REF!,#REF!,#REF!,#REF!,#REF!</definedName>
    <definedName name="hn.MultByFXRatesBot2" localSheetId="27" hidden="1">#REF!,#REF!,#REF!,#REF!,#REF!,#REF!,#REF!,#REF!,#REF!,#REF!,#REF!,#REF!</definedName>
    <definedName name="hn.MultByFXRatesBot2" hidden="1">#REF!,#REF!,#REF!,#REF!,#REF!,#REF!,#REF!,#REF!,#REF!,#REF!,#REF!,#REF!</definedName>
    <definedName name="hn.MultByFXRatesBot3" localSheetId="6" hidden="1">#REF!,#REF!,#REF!,#REF!,#REF!,#REF!,#REF!,#REF!,#REF!,#REF!,#REF!,#REF!</definedName>
    <definedName name="hn.MultByFXRatesBot3" localSheetId="29" hidden="1">#REF!,#REF!,#REF!,#REF!,#REF!,#REF!,#REF!,#REF!,#REF!,#REF!,#REF!,#REF!</definedName>
    <definedName name="hn.MultByFXRatesBot3" localSheetId="26" hidden="1">#REF!,#REF!,#REF!,#REF!,#REF!,#REF!,#REF!,#REF!,#REF!,#REF!,#REF!,#REF!</definedName>
    <definedName name="hn.MultByFXRatesBot3" localSheetId="4" hidden="1">#REF!,#REF!,#REF!,#REF!,#REF!,#REF!,#REF!,#REF!,#REF!,#REF!,#REF!,#REF!</definedName>
    <definedName name="hn.MultByFXRatesBot3" localSheetId="27" hidden="1">#REF!,#REF!,#REF!,#REF!,#REF!,#REF!,#REF!,#REF!,#REF!,#REF!,#REF!,#REF!</definedName>
    <definedName name="hn.MultByFXRatesBot3" hidden="1">#REF!,#REF!,#REF!,#REF!,#REF!,#REF!,#REF!,#REF!,#REF!,#REF!,#REF!,#REF!</definedName>
    <definedName name="hn.MultByFXRatesBot4" localSheetId="6" hidden="1">#REF!,#REF!,#REF!,#REF!,#REF!,#REF!,#REF!,#REF!,#REF!,#REF!,#REF!,#REF!,#REF!</definedName>
    <definedName name="hn.MultByFXRatesBot4" localSheetId="29" hidden="1">#REF!,#REF!,#REF!,#REF!,#REF!,#REF!,#REF!,#REF!,#REF!,#REF!,#REF!,#REF!,#REF!</definedName>
    <definedName name="hn.MultByFXRatesBot4" localSheetId="26" hidden="1">#REF!,#REF!,#REF!,#REF!,#REF!,#REF!,#REF!,#REF!,#REF!,#REF!,#REF!,#REF!,#REF!</definedName>
    <definedName name="hn.MultByFXRatesBot4" localSheetId="4" hidden="1">#REF!,#REF!,#REF!,#REF!,#REF!,#REF!,#REF!,#REF!,#REF!,#REF!,#REF!,#REF!,#REF!</definedName>
    <definedName name="hn.MultByFXRatesBot4" localSheetId="27" hidden="1">#REF!,#REF!,#REF!,#REF!,#REF!,#REF!,#REF!,#REF!,#REF!,#REF!,#REF!,#REF!,#REF!</definedName>
    <definedName name="hn.MultByFXRatesBot4" hidden="1">#REF!,#REF!,#REF!,#REF!,#REF!,#REF!,#REF!,#REF!,#REF!,#REF!,#REF!,#REF!,#REF!</definedName>
    <definedName name="hn.MultByFXRatesBot5" localSheetId="6" hidden="1">#REF!,#REF!,#REF!,#REF!,#REF!,#REF!,#REF!,#REF!,#REF!,#REF!,#REF!</definedName>
    <definedName name="hn.MultByFXRatesBot5" localSheetId="29" hidden="1">#REF!,#REF!,#REF!,#REF!,#REF!,#REF!,#REF!,#REF!,#REF!,#REF!,#REF!</definedName>
    <definedName name="hn.MultByFXRatesBot5" localSheetId="26" hidden="1">#REF!,#REF!,#REF!,#REF!,#REF!,#REF!,#REF!,#REF!,#REF!,#REF!,#REF!</definedName>
    <definedName name="hn.MultByFXRatesBot5" localSheetId="4" hidden="1">#REF!,#REF!,#REF!,#REF!,#REF!,#REF!,#REF!,#REF!,#REF!,#REF!,#REF!</definedName>
    <definedName name="hn.MultByFXRatesBot5" localSheetId="27" hidden="1">#REF!,#REF!,#REF!,#REF!,#REF!,#REF!,#REF!,#REF!,#REF!,#REF!,#REF!</definedName>
    <definedName name="hn.MultByFXRatesBot5" hidden="1">#REF!,#REF!,#REF!,#REF!,#REF!,#REF!,#REF!,#REF!,#REF!,#REF!,#REF!</definedName>
    <definedName name="hn.MultByFXRatesBot6" localSheetId="6" hidden="1">#REF!,#REF!,#REF!,#REF!,#REF!,#REF!,#REF!,#REF!,#REF!,#REF!,#REF!</definedName>
    <definedName name="hn.MultByFXRatesBot6" localSheetId="29" hidden="1">#REF!,#REF!,#REF!,#REF!,#REF!,#REF!,#REF!,#REF!,#REF!,#REF!,#REF!</definedName>
    <definedName name="hn.MultByFXRatesBot6" localSheetId="26" hidden="1">#REF!,#REF!,#REF!,#REF!,#REF!,#REF!,#REF!,#REF!,#REF!,#REF!,#REF!</definedName>
    <definedName name="hn.MultByFXRatesBot6" localSheetId="4" hidden="1">#REF!,#REF!,#REF!,#REF!,#REF!,#REF!,#REF!,#REF!,#REF!,#REF!,#REF!</definedName>
    <definedName name="hn.MultByFXRatesBot6" localSheetId="27" hidden="1">#REF!,#REF!,#REF!,#REF!,#REF!,#REF!,#REF!,#REF!,#REF!,#REF!,#REF!</definedName>
    <definedName name="hn.MultByFXRatesBot6" hidden="1">#REF!,#REF!,#REF!,#REF!,#REF!,#REF!,#REF!,#REF!,#REF!,#REF!,#REF!</definedName>
    <definedName name="hn.MultByFXRatesBot7" localSheetId="6" hidden="1">#REF!,#REF!,#REF!,#REF!,#REF!,#REF!,#REF!,#REF!,#REF!,#REF!,#REF!</definedName>
    <definedName name="hn.MultByFXRatesBot7" localSheetId="29" hidden="1">#REF!,#REF!,#REF!,#REF!,#REF!,#REF!,#REF!,#REF!,#REF!,#REF!,#REF!</definedName>
    <definedName name="hn.MultByFXRatesBot7" localSheetId="26" hidden="1">#REF!,#REF!,#REF!,#REF!,#REF!,#REF!,#REF!,#REF!,#REF!,#REF!,#REF!</definedName>
    <definedName name="hn.MultByFXRatesBot7" localSheetId="4" hidden="1">#REF!,#REF!,#REF!,#REF!,#REF!,#REF!,#REF!,#REF!,#REF!,#REF!,#REF!</definedName>
    <definedName name="hn.MultByFXRatesBot7" localSheetId="27" hidden="1">#REF!,#REF!,#REF!,#REF!,#REF!,#REF!,#REF!,#REF!,#REF!,#REF!,#REF!</definedName>
    <definedName name="hn.MultByFXRatesBot7" hidden="1">#REF!,#REF!,#REF!,#REF!,#REF!,#REF!,#REF!,#REF!,#REF!,#REF!,#REF!</definedName>
    <definedName name="hn.MultByFXRatesTop1" localSheetId="6" hidden="1">#REF!,#REF!,#REF!,#REF!,#REF!,#REF!,#REF!,#REF!,#REF!,#REF!,#REF!,#REF!</definedName>
    <definedName name="hn.MultByFXRatesTop1" localSheetId="29" hidden="1">#REF!,#REF!,#REF!,#REF!,#REF!,#REF!,#REF!,#REF!,#REF!,#REF!,#REF!,#REF!</definedName>
    <definedName name="hn.MultByFXRatesTop1" localSheetId="26" hidden="1">#REF!,#REF!,#REF!,#REF!,#REF!,#REF!,#REF!,#REF!,#REF!,#REF!,#REF!,#REF!</definedName>
    <definedName name="hn.MultByFXRatesTop1" localSheetId="4" hidden="1">#REF!,#REF!,#REF!,#REF!,#REF!,#REF!,#REF!,#REF!,#REF!,#REF!,#REF!,#REF!</definedName>
    <definedName name="hn.MultByFXRatesTop1" localSheetId="27" hidden="1">#REF!,#REF!,#REF!,#REF!,#REF!,#REF!,#REF!,#REF!,#REF!,#REF!,#REF!,#REF!</definedName>
    <definedName name="hn.MultByFXRatesTop1" hidden="1">#REF!,#REF!,#REF!,#REF!,#REF!,#REF!,#REF!,#REF!,#REF!,#REF!,#REF!,#REF!</definedName>
    <definedName name="hn.MultByFXRatesTop2" localSheetId="6" hidden="1">#REF!,#REF!,#REF!,#REF!,#REF!,#REF!,#REF!,#REF!,#REF!,#REF!,#REF!,#REF!,#REF!,#REF!,#REF!</definedName>
    <definedName name="hn.MultByFXRatesTop2" localSheetId="29" hidden="1">#REF!,#REF!,#REF!,#REF!,#REF!,#REF!,#REF!,#REF!,#REF!,#REF!,#REF!,#REF!,#REF!,#REF!,#REF!</definedName>
    <definedName name="hn.MultByFXRatesTop2" localSheetId="26" hidden="1">#REF!,#REF!,#REF!,#REF!,#REF!,#REF!,#REF!,#REF!,#REF!,#REF!,#REF!,#REF!,#REF!,#REF!,#REF!</definedName>
    <definedName name="hn.MultByFXRatesTop2" localSheetId="4" hidden="1">#REF!,#REF!,#REF!,#REF!,#REF!,#REF!,#REF!,#REF!,#REF!,#REF!,#REF!,#REF!,#REF!,#REF!,#REF!</definedName>
    <definedName name="hn.MultByFXRatesTop2" localSheetId="27" hidden="1">#REF!,#REF!,#REF!,#REF!,#REF!,#REF!,#REF!,#REF!,#REF!,#REF!,#REF!,#REF!,#REF!,#REF!,#REF!</definedName>
    <definedName name="hn.MultByFXRatesTop2" hidden="1">#REF!,#REF!,#REF!,#REF!,#REF!,#REF!,#REF!,#REF!,#REF!,#REF!,#REF!,#REF!,#REF!,#REF!,#REF!</definedName>
    <definedName name="hn.MultByFXRatesTop3" localSheetId="6" hidden="1">#REF!,#REF!,#REF!,#REF!,#REF!,#REF!,#REF!,#REF!,#REF!,#REF!,#REF!,#REF!,#REF!,#REF!,#REF!</definedName>
    <definedName name="hn.MultByFXRatesTop3" localSheetId="29" hidden="1">#REF!,#REF!,#REF!,#REF!,#REF!,#REF!,#REF!,#REF!,#REF!,#REF!,#REF!,#REF!,#REF!,#REF!,#REF!</definedName>
    <definedName name="hn.MultByFXRatesTop3" localSheetId="26" hidden="1">#REF!,#REF!,#REF!,#REF!,#REF!,#REF!,#REF!,#REF!,#REF!,#REF!,#REF!,#REF!,#REF!,#REF!,#REF!</definedName>
    <definedName name="hn.MultByFXRatesTop3" localSheetId="4" hidden="1">#REF!,#REF!,#REF!,#REF!,#REF!,#REF!,#REF!,#REF!,#REF!,#REF!,#REF!,#REF!,#REF!,#REF!,#REF!</definedName>
    <definedName name="hn.MultByFXRatesTop3" localSheetId="27" hidden="1">#REF!,#REF!,#REF!,#REF!,#REF!,#REF!,#REF!,#REF!,#REF!,#REF!,#REF!,#REF!,#REF!,#REF!,#REF!</definedName>
    <definedName name="hn.MultByFXRatesTop3" hidden="1">#REF!,#REF!,#REF!,#REF!,#REF!,#REF!,#REF!,#REF!,#REF!,#REF!,#REF!,#REF!,#REF!,#REF!,#REF!</definedName>
    <definedName name="hn.MultByFXRatesTop4" localSheetId="6" hidden="1">#REF!,#REF!,#REF!,#REF!,#REF!,#REF!,#REF!,#REF!,#REF!,#REF!,#REF!,#REF!,#REF!,#REF!,#REF!</definedName>
    <definedName name="hn.MultByFXRatesTop4" localSheetId="29" hidden="1">#REF!,#REF!,#REF!,#REF!,#REF!,#REF!,#REF!,#REF!,#REF!,#REF!,#REF!,#REF!,#REF!,#REF!,#REF!</definedName>
    <definedName name="hn.MultByFXRatesTop4" localSheetId="26" hidden="1">#REF!,#REF!,#REF!,#REF!,#REF!,#REF!,#REF!,#REF!,#REF!,#REF!,#REF!,#REF!,#REF!,#REF!,#REF!</definedName>
    <definedName name="hn.MultByFXRatesTop4" localSheetId="4" hidden="1">#REF!,#REF!,#REF!,#REF!,#REF!,#REF!,#REF!,#REF!,#REF!,#REF!,#REF!,#REF!,#REF!,#REF!,#REF!</definedName>
    <definedName name="hn.MultByFXRatesTop4" localSheetId="27" hidden="1">#REF!,#REF!,#REF!,#REF!,#REF!,#REF!,#REF!,#REF!,#REF!,#REF!,#REF!,#REF!,#REF!,#REF!,#REF!</definedName>
    <definedName name="hn.MultByFXRatesTop4" hidden="1">#REF!,#REF!,#REF!,#REF!,#REF!,#REF!,#REF!,#REF!,#REF!,#REF!,#REF!,#REF!,#REF!,#REF!,#REF!</definedName>
    <definedName name="hn.MultByFXRatesTop5" localSheetId="6" hidden="1">#REF!,#REF!,#REF!,#REF!,#REF!,#REF!,#REF!,#REF!,#REF!,#REF!,#REF!,#REF!</definedName>
    <definedName name="hn.MultByFXRatesTop5" localSheetId="29" hidden="1">#REF!,#REF!,#REF!,#REF!,#REF!,#REF!,#REF!,#REF!,#REF!,#REF!,#REF!,#REF!</definedName>
    <definedName name="hn.MultByFXRatesTop5" localSheetId="26" hidden="1">#REF!,#REF!,#REF!,#REF!,#REF!,#REF!,#REF!,#REF!,#REF!,#REF!,#REF!,#REF!</definedName>
    <definedName name="hn.MultByFXRatesTop5" localSheetId="4" hidden="1">#REF!,#REF!,#REF!,#REF!,#REF!,#REF!,#REF!,#REF!,#REF!,#REF!,#REF!,#REF!</definedName>
    <definedName name="hn.MultByFXRatesTop5" localSheetId="27" hidden="1">#REF!,#REF!,#REF!,#REF!,#REF!,#REF!,#REF!,#REF!,#REF!,#REF!,#REF!,#REF!</definedName>
    <definedName name="hn.MultByFXRatesTop5" hidden="1">#REF!,#REF!,#REF!,#REF!,#REF!,#REF!,#REF!,#REF!,#REF!,#REF!,#REF!,#REF!</definedName>
    <definedName name="hn.MultByFXRatesTop6" localSheetId="6" hidden="1">#REF!,#REF!,#REF!,#REF!,#REF!,#REF!,#REF!,#REF!,#REF!,#REF!,#REF!,#REF!,#REF!,#REF!,#REF!</definedName>
    <definedName name="hn.MultByFXRatesTop6" localSheetId="29" hidden="1">#REF!,#REF!,#REF!,#REF!,#REF!,#REF!,#REF!,#REF!,#REF!,#REF!,#REF!,#REF!,#REF!,#REF!,#REF!</definedName>
    <definedName name="hn.MultByFXRatesTop6" localSheetId="26" hidden="1">#REF!,#REF!,#REF!,#REF!,#REF!,#REF!,#REF!,#REF!,#REF!,#REF!,#REF!,#REF!,#REF!,#REF!,#REF!</definedName>
    <definedName name="hn.MultByFXRatesTop6" localSheetId="4" hidden="1">#REF!,#REF!,#REF!,#REF!,#REF!,#REF!,#REF!,#REF!,#REF!,#REF!,#REF!,#REF!,#REF!,#REF!,#REF!</definedName>
    <definedName name="hn.MultByFXRatesTop6" localSheetId="27" hidden="1">#REF!,#REF!,#REF!,#REF!,#REF!,#REF!,#REF!,#REF!,#REF!,#REF!,#REF!,#REF!,#REF!,#REF!,#REF!</definedName>
    <definedName name="hn.MultByFXRatesTop6" hidden="1">#REF!,#REF!,#REF!,#REF!,#REF!,#REF!,#REF!,#REF!,#REF!,#REF!,#REF!,#REF!,#REF!,#REF!,#REF!</definedName>
    <definedName name="hn.MultByFXRatesTop7" localSheetId="6" hidden="1">#REF!,#REF!,#REF!,#REF!,#REF!,#REF!,#REF!,#REF!,#REF!,#REF!,#REF!,#REF!,#REF!,#REF!,#REF!</definedName>
    <definedName name="hn.MultByFXRatesTop7" localSheetId="29" hidden="1">#REF!,#REF!,#REF!,#REF!,#REF!,#REF!,#REF!,#REF!,#REF!,#REF!,#REF!,#REF!,#REF!,#REF!,#REF!</definedName>
    <definedName name="hn.MultByFXRatesTop7" localSheetId="26" hidden="1">#REF!,#REF!,#REF!,#REF!,#REF!,#REF!,#REF!,#REF!,#REF!,#REF!,#REF!,#REF!,#REF!,#REF!,#REF!</definedName>
    <definedName name="hn.MultByFXRatesTop7" localSheetId="4" hidden="1">#REF!,#REF!,#REF!,#REF!,#REF!,#REF!,#REF!,#REF!,#REF!,#REF!,#REF!,#REF!,#REF!,#REF!,#REF!</definedName>
    <definedName name="hn.MultByFXRatesTop7" localSheetId="27" hidden="1">#REF!,#REF!,#REF!,#REF!,#REF!,#REF!,#REF!,#REF!,#REF!,#REF!,#REF!,#REF!,#REF!,#REF!,#REF!</definedName>
    <definedName name="hn.MultByFXRatesTop7" hidden="1">#REF!,#REF!,#REF!,#REF!,#REF!,#REF!,#REF!,#REF!,#REF!,#REF!,#REF!,#REF!,#REF!,#REF!,#REF!</definedName>
    <definedName name="hn.NoUpload" hidden="1">0</definedName>
    <definedName name="hn.YearLabel" localSheetId="6" hidden="1">#REF!</definedName>
    <definedName name="hn.YearLabel" localSheetId="26" hidden="1">#REF!</definedName>
    <definedName name="hn.YearLabel" localSheetId="4" hidden="1">#REF!</definedName>
    <definedName name="hn.YearLabel" localSheetId="27" hidden="1">#REF!</definedName>
    <definedName name="hn.YearLabel" hidden="1">#REF!</definedName>
    <definedName name="IMPLEMENTACIÓN_DE_SOLUCIONES_ENERGÉTICAS_SOSTENIBLES_CON_FUENTES_NO_CONVENCIONALES_PARA_LAS__COMUNIDADES_RURALES_DEL_MUNICIPIO_CARTAGENA_DEL_CHAIRÁ__DEPARTAMENTO_DEL_CAQUETÁ">'1.1'!$B$1</definedName>
    <definedName name="IMPLEMENTACIÓN_DE_SOLUCIONES_SOLARES_FOTOVOLTAICAS_PARA_USUARIOS_DE_LAS_VEREDAS_DE_LA_ZONA_RURAL_DEL_MUNICIPIO_DE_CARTAGENA_DEL_CHAIRÁ__CAQUETÁ.">Usuarios!$B$1</definedName>
    <definedName name="Incomepb" localSheetId="6" hidden="1">#REF!</definedName>
    <definedName name="Incomepb" localSheetId="26" hidden="1">#REF!</definedName>
    <definedName name="Incomepb" localSheetId="4" hidden="1">#REF!</definedName>
    <definedName name="Incomepb" localSheetId="27" hidden="1">#REF!</definedName>
    <definedName name="Incomepb" hidden="1">#REF!</definedName>
    <definedName name="ins">[1]Resumen!$G$37</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PARENT" hidden="1">"c2144"</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38798.4609490741</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LOW" hidden="1">"c1338"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ColHidden" hidden="1">FALSE</definedName>
    <definedName name="IsLTMColHidden" hidden="1">FALSE</definedName>
    <definedName name="IsSecureRevolver" localSheetId="6" hidden="1">#REF!</definedName>
    <definedName name="IsSecureRevolver" localSheetId="26" hidden="1">#REF!</definedName>
    <definedName name="IsSecureRevolver" localSheetId="4" hidden="1">#REF!</definedName>
    <definedName name="IsSecureRevolver" localSheetId="27" hidden="1">#REF!</definedName>
    <definedName name="IsSecureRevolver" hidden="1">#REF!</definedName>
    <definedName name="IsSecureSenior1" localSheetId="6" hidden="1">#REF!</definedName>
    <definedName name="IsSecureSenior1" localSheetId="26" hidden="1">#REF!</definedName>
    <definedName name="IsSecureSenior1" localSheetId="4" hidden="1">#REF!</definedName>
    <definedName name="IsSecureSenior1" localSheetId="27" hidden="1">#REF!</definedName>
    <definedName name="IsSecureSenior1" hidden="1">#REF!</definedName>
    <definedName name="IsSecureSenior2" localSheetId="6" hidden="1">#REF!</definedName>
    <definedName name="IsSecureSenior2" localSheetId="26" hidden="1">#REF!</definedName>
    <definedName name="IsSecureSenior2" localSheetId="4" hidden="1">#REF!</definedName>
    <definedName name="IsSecureSenior2" localSheetId="27" hidden="1">#REF!</definedName>
    <definedName name="IsSecureSenior2" hidden="1">#REF!</definedName>
    <definedName name="IsSecureSenior3" localSheetId="6" hidden="1">#REF!</definedName>
    <definedName name="IsSecureSenior3" localSheetId="26" hidden="1">#REF!</definedName>
    <definedName name="IsSecureSenior3" localSheetId="4" hidden="1">#REF!</definedName>
    <definedName name="IsSecureSenior3" localSheetId="27" hidden="1">#REF!</definedName>
    <definedName name="IsSecureSenior3" hidden="1">#REF!</definedName>
    <definedName name="IsSecureSenior4" localSheetId="6" hidden="1">#REF!</definedName>
    <definedName name="IsSecureSenior4" localSheetId="26" hidden="1">#REF!</definedName>
    <definedName name="IsSecureSenior4" localSheetId="4" hidden="1">#REF!</definedName>
    <definedName name="IsSecureSenior4" localSheetId="27" hidden="1">#REF!</definedName>
    <definedName name="IsSecureSenior4" hidden="1">#REF!</definedName>
    <definedName name="IsSecureSenior5" localSheetId="6" hidden="1">#REF!</definedName>
    <definedName name="IsSecureSenior5" localSheetId="26" hidden="1">#REF!</definedName>
    <definedName name="IsSecureSenior5" localSheetId="4" hidden="1">#REF!</definedName>
    <definedName name="IsSecureSenior5" localSheetId="27" hidden="1">#REF!</definedName>
    <definedName name="IsSecureSenior5" hidden="1">#REF!</definedName>
    <definedName name="IsSecureSenior6" localSheetId="6" hidden="1">#REF!</definedName>
    <definedName name="IsSecureSenior6" localSheetId="26" hidden="1">#REF!</definedName>
    <definedName name="IsSecureSenior6" localSheetId="4" hidden="1">#REF!</definedName>
    <definedName name="IsSecureSenior6" localSheetId="27" hidden="1">#REF!</definedName>
    <definedName name="IsSecureSenior6" hidden="1">#REF!</definedName>
    <definedName name="IsSecureSenior7" localSheetId="6" hidden="1">#REF!</definedName>
    <definedName name="IsSecureSenior7" localSheetId="26" hidden="1">#REF!</definedName>
    <definedName name="IsSecureSenior7" localSheetId="4" hidden="1">#REF!</definedName>
    <definedName name="IsSecureSenior7" localSheetId="27" hidden="1">#REF!</definedName>
    <definedName name="IsSecureSenior7" hidden="1">#REF!</definedName>
    <definedName name="jklj" localSheetId="6" hidden="1">#REF!</definedName>
    <definedName name="jklj" localSheetId="26" hidden="1">#REF!</definedName>
    <definedName name="jklj" localSheetId="4" hidden="1">#REF!</definedName>
    <definedName name="jklj" localSheetId="27" hidden="1">#REF!</definedName>
    <definedName name="jklj" hidden="1">#REF!</definedName>
    <definedName name="KO" localSheetId="6" hidden="1">#REF!</definedName>
    <definedName name="KO" localSheetId="26" hidden="1">#REF!</definedName>
    <definedName name="KO" localSheetId="4" hidden="1">#REF!</definedName>
    <definedName name="KO" localSheetId="27" hidden="1">#REF!</definedName>
    <definedName name="KO" hidden="1">#REF!</definedName>
    <definedName name="Left_Header" localSheetId="6" hidden="1">#REF!</definedName>
    <definedName name="Left_Header" localSheetId="26" hidden="1">#REF!</definedName>
    <definedName name="Left_Header" localSheetId="4" hidden="1">#REF!</definedName>
    <definedName name="Left_Header" localSheetId="27" hidden="1">#REF!</definedName>
    <definedName name="Left_Header" hidden="1">#REF!</definedName>
    <definedName name="limcount" hidden="1">1</definedName>
    <definedName name="mama" localSheetId="6" hidden="1">#REF!</definedName>
    <definedName name="mama" localSheetId="29" hidden="1">#REF!</definedName>
    <definedName name="mama" localSheetId="26" hidden="1">#REF!</definedName>
    <definedName name="mama" localSheetId="4" hidden="1">#REF!</definedName>
    <definedName name="mama" localSheetId="27" hidden="1">#REF!</definedName>
    <definedName name="mama" hidden="1">#REF!</definedName>
    <definedName name="OBS_Data_Col" localSheetId="6" hidden="1">#REF!</definedName>
    <definedName name="OBS_Data_Col" localSheetId="26" hidden="1">#REF!</definedName>
    <definedName name="OBS_Data_Col" localSheetId="4" hidden="1">#REF!</definedName>
    <definedName name="OBS_Data_Col" localSheetId="27" hidden="1">#REF!</definedName>
    <definedName name="OBS_Data_Col" hidden="1">#REF!</definedName>
    <definedName name="Openingpb" localSheetId="6" hidden="1">#REF!</definedName>
    <definedName name="Openingpb" localSheetId="26" hidden="1">#REF!</definedName>
    <definedName name="Openingpb" localSheetId="4" hidden="1">#REF!</definedName>
    <definedName name="Openingpb" localSheetId="27" hidden="1">#REF!</definedName>
    <definedName name="Openingpb" hidden="1">#REF!</definedName>
    <definedName name="OWNER" localSheetId="6" hidden="1">#REF!</definedName>
    <definedName name="OWNER" localSheetId="26" hidden="1">#REF!</definedName>
    <definedName name="OWNER" localSheetId="4" hidden="1">#REF!</definedName>
    <definedName name="OWNER" localSheetId="27" hidden="1">#REF!</definedName>
    <definedName name="OWNER" hidden="1">#REF!</definedName>
    <definedName name="p.BS" localSheetId="6" hidden="1">#REF!</definedName>
    <definedName name="p.BS" localSheetId="26" hidden="1">#REF!</definedName>
    <definedName name="p.BS" localSheetId="4" hidden="1">#REF!</definedName>
    <definedName name="p.BS" localSheetId="27" hidden="1">#REF!</definedName>
    <definedName name="p.BS" hidden="1">#REF!</definedName>
    <definedName name="p.BSAssumptions" localSheetId="6" hidden="1">#REF!</definedName>
    <definedName name="p.BSAssumptions" localSheetId="26" hidden="1">#REF!</definedName>
    <definedName name="p.BSAssumptions" localSheetId="4" hidden="1">#REF!</definedName>
    <definedName name="p.BSAssumptions" localSheetId="27" hidden="1">#REF!</definedName>
    <definedName name="p.BSAssumptions" hidden="1">#REF!</definedName>
    <definedName name="p.CapStructure" localSheetId="6" hidden="1">#REF!</definedName>
    <definedName name="p.CapStructure" localSheetId="26" hidden="1">#REF!</definedName>
    <definedName name="p.CapStructure" localSheetId="4" hidden="1">#REF!</definedName>
    <definedName name="p.CapStructure" localSheetId="27" hidden="1">#REF!</definedName>
    <definedName name="p.CapStructure" hidden="1">#REF!</definedName>
    <definedName name="p.CashFlow" localSheetId="6" hidden="1">#REF!</definedName>
    <definedName name="p.CashFlow" localSheetId="26" hidden="1">#REF!</definedName>
    <definedName name="p.CashFlow" localSheetId="4" hidden="1">#REF!</definedName>
    <definedName name="p.CashFlow" localSheetId="27" hidden="1">#REF!</definedName>
    <definedName name="p.CashFlow" hidden="1">#REF!</definedName>
    <definedName name="p.Cover" localSheetId="6" hidden="1">#REF!</definedName>
    <definedName name="p.Cover" localSheetId="26" hidden="1">#REF!</definedName>
    <definedName name="p.Cover" localSheetId="4" hidden="1">#REF!</definedName>
    <definedName name="p.Cover" localSheetId="27" hidden="1">#REF!</definedName>
    <definedName name="p.Cover" hidden="1">#REF!</definedName>
    <definedName name="p.Depreciation" localSheetId="6" hidden="1">#REF!</definedName>
    <definedName name="p.Depreciation" localSheetId="26" hidden="1">#REF!</definedName>
    <definedName name="p.Depreciation" localSheetId="4" hidden="1">#REF!</definedName>
    <definedName name="p.Depreciation" localSheetId="27" hidden="1">#REF!</definedName>
    <definedName name="p.Depreciation" hidden="1">#REF!</definedName>
    <definedName name="p.Executive" localSheetId="6" hidden="1">#REF!</definedName>
    <definedName name="p.Executive" localSheetId="26" hidden="1">#REF!</definedName>
    <definedName name="p.Executive" localSheetId="4" hidden="1">#REF!</definedName>
    <definedName name="p.Executive" localSheetId="27" hidden="1">#REF!</definedName>
    <definedName name="p.Executive" hidden="1">#REF!</definedName>
    <definedName name="p.FactSheet" localSheetId="6" hidden="1">#REF!</definedName>
    <definedName name="p.FactSheet" localSheetId="26" hidden="1">#REF!</definedName>
    <definedName name="p.FactSheet" localSheetId="4" hidden="1">#REF!</definedName>
    <definedName name="p.FactSheet" localSheetId="27" hidden="1">#REF!</definedName>
    <definedName name="p.FactSheet" hidden="1">#REF!</definedName>
    <definedName name="p.IS" localSheetId="6" hidden="1">#REF!</definedName>
    <definedName name="p.IS" localSheetId="26" hidden="1">#REF!</definedName>
    <definedName name="p.IS" localSheetId="4" hidden="1">#REF!</definedName>
    <definedName name="p.IS" localSheetId="27" hidden="1">#REF!</definedName>
    <definedName name="p.IS" hidden="1">#REF!</definedName>
    <definedName name="p.ISAssumptions" localSheetId="6" hidden="1">#REF!</definedName>
    <definedName name="p.ISAssumptions" localSheetId="26" hidden="1">#REF!</definedName>
    <definedName name="p.ISAssumptions" localSheetId="4" hidden="1">#REF!</definedName>
    <definedName name="p.ISAssumptions" localSheetId="27" hidden="1">#REF!</definedName>
    <definedName name="p.ISAssumptions" hidden="1">#REF!</definedName>
    <definedName name="p.OpeningBS" localSheetId="6" hidden="1">#REF!</definedName>
    <definedName name="p.OpeningBS" localSheetId="26" hidden="1">#REF!</definedName>
    <definedName name="p.OpeningBS" localSheetId="4" hidden="1">#REF!</definedName>
    <definedName name="p.OpeningBS" localSheetId="27" hidden="1">#REF!</definedName>
    <definedName name="p.OpeningBS" hidden="1">#REF!</definedName>
    <definedName name="p.TaxCalculation" localSheetId="6" hidden="1">#REF!</definedName>
    <definedName name="p.TaxCalculation" localSheetId="26" hidden="1">#REF!</definedName>
    <definedName name="p.TaxCalculation" localSheetId="4" hidden="1">#REF!</definedName>
    <definedName name="p.TaxCalculation" localSheetId="27" hidden="1">#REF!</definedName>
    <definedName name="p.TaxCalculation" hidden="1">#REF!</definedName>
    <definedName name="Pal_Workbook_GUID" hidden="1">"MZ13F7WREF2M259BRMK8ILZK"</definedName>
    <definedName name="PASO" localSheetId="6" hidden="1">{#N/A,#N/A,TRUE,"INGENIERIA";#N/A,#N/A,TRUE,"COMPRAS";#N/A,#N/A,TRUE,"DIRECCION";#N/A,#N/A,TRUE,"RESUMEN"}</definedName>
    <definedName name="PASO" localSheetId="29" hidden="1">{#N/A,#N/A,TRUE,"INGENIERIA";#N/A,#N/A,TRUE,"COMPRAS";#N/A,#N/A,TRUE,"DIRECCION";#N/A,#N/A,TRUE,"RESUMEN"}</definedName>
    <definedName name="PASO" localSheetId="26" hidden="1">{#N/A,#N/A,TRUE,"INGENIERIA";#N/A,#N/A,TRUE,"COMPRAS";#N/A,#N/A,TRUE,"DIRECCION";#N/A,#N/A,TRUE,"RESUMEN"}</definedName>
    <definedName name="PASO" localSheetId="4" hidden="1">{#N/A,#N/A,TRUE,"INGENIERIA";#N/A,#N/A,TRUE,"COMPRAS";#N/A,#N/A,TRUE,"DIRECCION";#N/A,#N/A,TRUE,"RESUMEN"}</definedName>
    <definedName name="PASO" localSheetId="28" hidden="1">{#N/A,#N/A,TRUE,"INGENIERIA";#N/A,#N/A,TRUE,"COMPRAS";#N/A,#N/A,TRUE,"DIRECCION";#N/A,#N/A,TRUE,"RESUMEN"}</definedName>
    <definedName name="PASO" localSheetId="23" hidden="1">{#N/A,#N/A,TRUE,"INGENIERIA";#N/A,#N/A,TRUE,"COMPRAS";#N/A,#N/A,TRUE,"DIRECCION";#N/A,#N/A,TRUE,"RESUMEN"}</definedName>
    <definedName name="PASO" localSheetId="27" hidden="1">{#N/A,#N/A,TRUE,"INGENIERIA";#N/A,#N/A,TRUE,"COMPRAS";#N/A,#N/A,TRUE,"DIRECCION";#N/A,#N/A,TRUE,"RESUMEN"}</definedName>
    <definedName name="PASO" hidden="1">{#N/A,#N/A,TRUE,"INGENIERIA";#N/A,#N/A,TRUE,"COMPRAS";#N/A,#N/A,TRUE,"DIRECCION";#N/A,#N/A,TRUE,"RESUMEN"}</definedName>
    <definedName name="PASS" localSheetId="6" hidden="1">{#N/A,#N/A,TRUE,"INGENIERIA";#N/A,#N/A,TRUE,"COMPRAS";#N/A,#N/A,TRUE,"DIRECCION";#N/A,#N/A,TRUE,"RESUMEN"}</definedName>
    <definedName name="PASS" localSheetId="29" hidden="1">{#N/A,#N/A,TRUE,"INGENIERIA";#N/A,#N/A,TRUE,"COMPRAS";#N/A,#N/A,TRUE,"DIRECCION";#N/A,#N/A,TRUE,"RESUMEN"}</definedName>
    <definedName name="PASS" localSheetId="26" hidden="1">{#N/A,#N/A,TRUE,"INGENIERIA";#N/A,#N/A,TRUE,"COMPRAS";#N/A,#N/A,TRUE,"DIRECCION";#N/A,#N/A,TRUE,"RESUMEN"}</definedName>
    <definedName name="PASS" localSheetId="4" hidden="1">{#N/A,#N/A,TRUE,"INGENIERIA";#N/A,#N/A,TRUE,"COMPRAS";#N/A,#N/A,TRUE,"DIRECCION";#N/A,#N/A,TRUE,"RESUMEN"}</definedName>
    <definedName name="PASS" localSheetId="28" hidden="1">{#N/A,#N/A,TRUE,"INGENIERIA";#N/A,#N/A,TRUE,"COMPRAS";#N/A,#N/A,TRUE,"DIRECCION";#N/A,#N/A,TRUE,"RESUMEN"}</definedName>
    <definedName name="PASS" localSheetId="23" hidden="1">{#N/A,#N/A,TRUE,"INGENIERIA";#N/A,#N/A,TRUE,"COMPRAS";#N/A,#N/A,TRUE,"DIRECCION";#N/A,#N/A,TRUE,"RESUMEN"}</definedName>
    <definedName name="PASS" localSheetId="27" hidden="1">{#N/A,#N/A,TRUE,"INGENIERIA";#N/A,#N/A,TRUE,"COMPRAS";#N/A,#N/A,TRUE,"DIRECCION";#N/A,#N/A,TRUE,"RESUMEN"}</definedName>
    <definedName name="PASS" hidden="1">{#N/A,#N/A,TRUE,"INGENIERIA";#N/A,#N/A,TRUE,"COMPRAS";#N/A,#N/A,TRUE,"DIRECCION";#N/A,#N/A,TRUE,"RESUMEN"}</definedName>
    <definedName name="PIA" localSheetId="6" hidden="1">#REF!</definedName>
    <definedName name="PIA" localSheetId="26" hidden="1">#REF!</definedName>
    <definedName name="PIA" localSheetId="4" hidden="1">#REF!</definedName>
    <definedName name="PIA" localSheetId="27" hidden="1">#REF!</definedName>
    <definedName name="PIA" hidden="1">#REF!</definedName>
    <definedName name="PLUG" localSheetId="6" hidden="1">#REF!</definedName>
    <definedName name="PLUG" localSheetId="26" hidden="1">#REF!</definedName>
    <definedName name="PLUG" localSheetId="4" hidden="1">#REF!</definedName>
    <definedName name="PLUG" localSheetId="27" hidden="1">#REF!</definedName>
    <definedName name="PLUG" hidden="1">#REF!</definedName>
    <definedName name="PrintEnd" localSheetId="6" hidden="1">#REF!</definedName>
    <definedName name="PrintEnd" localSheetId="26" hidden="1">#REF!</definedName>
    <definedName name="PrintEnd" localSheetId="4" hidden="1">#REF!</definedName>
    <definedName name="PrintEnd" localSheetId="27" hidden="1">#REF!</definedName>
    <definedName name="PrintEnd" hidden="1">#REF!</definedName>
    <definedName name="PrintStart" localSheetId="6" hidden="1">#REF!</definedName>
    <definedName name="PrintStart" localSheetId="26" hidden="1">#REF!</definedName>
    <definedName name="PrintStart" localSheetId="4" hidden="1">#REF!</definedName>
    <definedName name="PrintStart" localSheetId="27" hidden="1">#REF!</definedName>
    <definedName name="PrintStart" hidden="1">#REF!</definedName>
    <definedName name="PTTTT" localSheetId="6" hidden="1">{#N/A,#N/A,TRUE,"INGENIERIA";#N/A,#N/A,TRUE,"COMPRAS";#N/A,#N/A,TRUE,"DIRECCION";#N/A,#N/A,TRUE,"RESUMEN"}</definedName>
    <definedName name="PTTTT" localSheetId="29" hidden="1">{#N/A,#N/A,TRUE,"INGENIERIA";#N/A,#N/A,TRUE,"COMPRAS";#N/A,#N/A,TRUE,"DIRECCION";#N/A,#N/A,TRUE,"RESUMEN"}</definedName>
    <definedName name="PTTTT" localSheetId="26" hidden="1">{#N/A,#N/A,TRUE,"INGENIERIA";#N/A,#N/A,TRUE,"COMPRAS";#N/A,#N/A,TRUE,"DIRECCION";#N/A,#N/A,TRUE,"RESUMEN"}</definedName>
    <definedName name="PTTTT" localSheetId="4" hidden="1">{#N/A,#N/A,TRUE,"INGENIERIA";#N/A,#N/A,TRUE,"COMPRAS";#N/A,#N/A,TRUE,"DIRECCION";#N/A,#N/A,TRUE,"RESUMEN"}</definedName>
    <definedName name="PTTTT" localSheetId="28" hidden="1">{#N/A,#N/A,TRUE,"INGENIERIA";#N/A,#N/A,TRUE,"COMPRAS";#N/A,#N/A,TRUE,"DIRECCION";#N/A,#N/A,TRUE,"RESUMEN"}</definedName>
    <definedName name="PTTTT" localSheetId="23" hidden="1">{#N/A,#N/A,TRUE,"INGENIERIA";#N/A,#N/A,TRUE,"COMPRAS";#N/A,#N/A,TRUE,"DIRECCION";#N/A,#N/A,TRUE,"RESUMEN"}</definedName>
    <definedName name="PTTTT" localSheetId="27" hidden="1">{#N/A,#N/A,TRUE,"INGENIERIA";#N/A,#N/A,TRUE,"COMPRAS";#N/A,#N/A,TRUE,"DIRECCION";#N/A,#N/A,TRUE,"RESUMEN"}</definedName>
    <definedName name="PTTTT" hidden="1">{#N/A,#N/A,TRUE,"INGENIERIA";#N/A,#N/A,TRUE,"COMPRAS";#N/A,#N/A,TRUE,"DIRECCION";#N/A,#N/A,TRUE,"RESUMEN"}</definedName>
    <definedName name="QWE" localSheetId="6" hidden="1">#REF!</definedName>
    <definedName name="QWE" localSheetId="29" hidden="1">#REF!</definedName>
    <definedName name="QWE" localSheetId="26" hidden="1">#REF!</definedName>
    <definedName name="QWE" localSheetId="4" hidden="1">#REF!</definedName>
    <definedName name="QWE" localSheetId="27" hidden="1">#REF!</definedName>
    <definedName name="QWE" hidden="1">#REF!</definedName>
    <definedName name="r.CashFlow" localSheetId="6" hidden="1">#REF!</definedName>
    <definedName name="r.CashFlow" localSheetId="26" hidden="1">#REF!</definedName>
    <definedName name="r.CashFlow" localSheetId="4" hidden="1">#REF!</definedName>
    <definedName name="r.CashFlow" localSheetId="27" hidden="1">#REF!</definedName>
    <definedName name="r.CashFlow" hidden="1">#REF!</definedName>
    <definedName name="r.Leverage" localSheetId="6" hidden="1">#REF!</definedName>
    <definedName name="r.Leverage" localSheetId="26" hidden="1">#REF!</definedName>
    <definedName name="r.Leverage" localSheetId="4" hidden="1">#REF!</definedName>
    <definedName name="r.Leverage" localSheetId="27" hidden="1">#REF!</definedName>
    <definedName name="r.Leverage" hidden="1">#REF!</definedName>
    <definedName name="r.Liquidity" localSheetId="6" hidden="1">#REF!</definedName>
    <definedName name="r.Liquidity" localSheetId="26" hidden="1">#REF!</definedName>
    <definedName name="r.Liquidity" localSheetId="4" hidden="1">#REF!</definedName>
    <definedName name="r.Liquidity" localSheetId="27" hidden="1">#REF!</definedName>
    <definedName name="r.Liquidity" hidden="1">#REF!</definedName>
    <definedName name="r.Market" localSheetId="6" hidden="1">#REF!</definedName>
    <definedName name="r.Market" localSheetId="26" hidden="1">#REF!</definedName>
    <definedName name="r.Market" localSheetId="4" hidden="1">#REF!</definedName>
    <definedName name="r.Market" localSheetId="27" hidden="1">#REF!</definedName>
    <definedName name="r.Market" hidden="1">#REF!</definedName>
    <definedName name="r.Profitability" localSheetId="6" hidden="1">#REF!</definedName>
    <definedName name="r.Profitability" localSheetId="26" hidden="1">#REF!</definedName>
    <definedName name="r.Profitability" localSheetId="4" hidden="1">#REF!</definedName>
    <definedName name="r.Profitability" localSheetId="27" hidden="1">#REF!</definedName>
    <definedName name="r.Profitability" hidden="1">#REF!</definedName>
    <definedName name="r.Summary" localSheetId="6" hidden="1">#REF!</definedName>
    <definedName name="r.Summary" localSheetId="26" hidden="1">#REF!</definedName>
    <definedName name="r.Summary" localSheetId="4" hidden="1">#REF!</definedName>
    <definedName name="r.Summary" localSheetId="27" hidden="1">#REF!</definedName>
    <definedName name="r.Summary"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ws2Unhide" localSheetId="6" hidden="1">#REF!</definedName>
    <definedName name="Rows2Unhide" localSheetId="26" hidden="1">#REF!</definedName>
    <definedName name="Rows2Unhide" localSheetId="4" hidden="1">#REF!</definedName>
    <definedName name="Rows2Unhide" localSheetId="27" hidden="1">#REF!</definedName>
    <definedName name="Rows2Unhide" hidden="1">#REF!</definedName>
    <definedName name="sencount" hidden="1">1</definedName>
    <definedName name="SOSO" localSheetId="6" hidden="1">#REF!</definedName>
    <definedName name="SOSO" localSheetId="29" hidden="1">#REF!</definedName>
    <definedName name="SOSO" localSheetId="26" hidden="1">#REF!</definedName>
    <definedName name="SOSO" localSheetId="4" hidden="1">#REF!</definedName>
    <definedName name="SOSO" localSheetId="27" hidden="1">#REF!</definedName>
    <definedName name="SOSO" hidden="1">#REF!</definedName>
    <definedName name="Stub" localSheetId="6" hidden="1">#REF!</definedName>
    <definedName name="Stub" localSheetId="26" hidden="1">#REF!</definedName>
    <definedName name="Stub" localSheetId="4" hidden="1">#REF!</definedName>
    <definedName name="Stub" localSheetId="27" hidden="1">#REF!</definedName>
    <definedName name="Stub" hidden="1">#REF!</definedName>
    <definedName name="Stub_Header1" localSheetId="6" hidden="1">#REF!</definedName>
    <definedName name="Stub_Header1" localSheetId="26" hidden="1">#REF!</definedName>
    <definedName name="Stub_Header1" localSheetId="4" hidden="1">#REF!</definedName>
    <definedName name="Stub_Header1" localSheetId="27" hidden="1">#REF!</definedName>
    <definedName name="Stub_Header1" hidden="1">#REF!</definedName>
    <definedName name="Stub_Header2" localSheetId="6" hidden="1">#REF!</definedName>
    <definedName name="Stub_Header2" localSheetId="26" hidden="1">#REF!</definedName>
    <definedName name="Stub_Header2" localSheetId="4" hidden="1">#REF!</definedName>
    <definedName name="Stub_Header2" localSheetId="27" hidden="1">#REF!</definedName>
    <definedName name="Stub_Header2" hidden="1">#REF!</definedName>
    <definedName name="Stub_Header3" localSheetId="6" hidden="1">#REF!</definedName>
    <definedName name="Stub_Header3" localSheetId="26" hidden="1">#REF!</definedName>
    <definedName name="Stub_Header3" localSheetId="4" hidden="1">#REF!</definedName>
    <definedName name="Stub_Header3" localSheetId="27" hidden="1">#REF!</definedName>
    <definedName name="Stub_Header3" hidden="1">#REF!</definedName>
    <definedName name="Supervía" localSheetId="6" hidden="1">{#N/A,#N/A,TRUE,"0001";#N/A,#N/A,TRUE,"0002";#N/A,#N/A,TRUE,"0003";#N/A,#N/A,TRUE,"0004";#N/A,#N/A,TRUE,"0005";#N/A,#N/A,TRUE,"0006";#N/A,#N/A,TRUE,"0007";#N/A,#N/A,TRUE,"0008";#N/A,#N/A,TRUE,"0009";#N/A,#N/A,TRUE,"0010"}</definedName>
    <definedName name="Supervía" localSheetId="29" hidden="1">{#N/A,#N/A,TRUE,"0001";#N/A,#N/A,TRUE,"0002";#N/A,#N/A,TRUE,"0003";#N/A,#N/A,TRUE,"0004";#N/A,#N/A,TRUE,"0005";#N/A,#N/A,TRUE,"0006";#N/A,#N/A,TRUE,"0007";#N/A,#N/A,TRUE,"0008";#N/A,#N/A,TRUE,"0009";#N/A,#N/A,TRUE,"0010"}</definedName>
    <definedName name="Supervía" localSheetId="26" hidden="1">{#N/A,#N/A,TRUE,"0001";#N/A,#N/A,TRUE,"0002";#N/A,#N/A,TRUE,"0003";#N/A,#N/A,TRUE,"0004";#N/A,#N/A,TRUE,"0005";#N/A,#N/A,TRUE,"0006";#N/A,#N/A,TRUE,"0007";#N/A,#N/A,TRUE,"0008";#N/A,#N/A,TRUE,"0009";#N/A,#N/A,TRUE,"0010"}</definedName>
    <definedName name="Supervía" localSheetId="4" hidden="1">{#N/A,#N/A,TRUE,"0001";#N/A,#N/A,TRUE,"0002";#N/A,#N/A,TRUE,"0003";#N/A,#N/A,TRUE,"0004";#N/A,#N/A,TRUE,"0005";#N/A,#N/A,TRUE,"0006";#N/A,#N/A,TRUE,"0007";#N/A,#N/A,TRUE,"0008";#N/A,#N/A,TRUE,"0009";#N/A,#N/A,TRUE,"0010"}</definedName>
    <definedName name="Supervía" localSheetId="28" hidden="1">{#N/A,#N/A,TRUE,"0001";#N/A,#N/A,TRUE,"0002";#N/A,#N/A,TRUE,"0003";#N/A,#N/A,TRUE,"0004";#N/A,#N/A,TRUE,"0005";#N/A,#N/A,TRUE,"0006";#N/A,#N/A,TRUE,"0007";#N/A,#N/A,TRUE,"0008";#N/A,#N/A,TRUE,"0009";#N/A,#N/A,TRUE,"0010"}</definedName>
    <definedName name="Supervía" localSheetId="23" hidden="1">{#N/A,#N/A,TRUE,"0001";#N/A,#N/A,TRUE,"0002";#N/A,#N/A,TRUE,"0003";#N/A,#N/A,TRUE,"0004";#N/A,#N/A,TRUE,"0005";#N/A,#N/A,TRUE,"0006";#N/A,#N/A,TRUE,"0007";#N/A,#N/A,TRUE,"0008";#N/A,#N/A,TRUE,"0009";#N/A,#N/A,TRUE,"0010"}</definedName>
    <definedName name="Supervía" localSheetId="27" hidden="1">{#N/A,#N/A,TRUE,"0001";#N/A,#N/A,TRUE,"0002";#N/A,#N/A,TRUE,"0003";#N/A,#N/A,TRUE,"0004";#N/A,#N/A,TRUE,"0005";#N/A,#N/A,TRUE,"0006";#N/A,#N/A,TRUE,"0007";#N/A,#N/A,TRUE,"0008";#N/A,#N/A,TRUE,"0009";#N/A,#N/A,TRUE,"0010"}</definedName>
    <definedName name="Supervía" hidden="1">{#N/A,#N/A,TRUE,"0001";#N/A,#N/A,TRUE,"0002";#N/A,#N/A,TRUE,"0003";#N/A,#N/A,TRUE,"0004";#N/A,#N/A,TRUE,"0005";#N/A,#N/A,TRUE,"0006";#N/A,#N/A,TRUE,"0007";#N/A,#N/A,TRUE,"0008";#N/A,#N/A,TRUE,"0009";#N/A,#N/A,TRUE,"0010"}</definedName>
    <definedName name="Supervía_1" localSheetId="6" hidden="1">{#N/A,#N/A,TRUE,"0001";#N/A,#N/A,TRUE,"0002";#N/A,#N/A,TRUE,"0003";#N/A,#N/A,TRUE,"0004";#N/A,#N/A,TRUE,"0005";#N/A,#N/A,TRUE,"0006";#N/A,#N/A,TRUE,"0007";#N/A,#N/A,TRUE,"0008";#N/A,#N/A,TRUE,"0009";#N/A,#N/A,TRUE,"0010"}</definedName>
    <definedName name="Supervía_1" localSheetId="29" hidden="1">{#N/A,#N/A,TRUE,"0001";#N/A,#N/A,TRUE,"0002";#N/A,#N/A,TRUE,"0003";#N/A,#N/A,TRUE,"0004";#N/A,#N/A,TRUE,"0005";#N/A,#N/A,TRUE,"0006";#N/A,#N/A,TRUE,"0007";#N/A,#N/A,TRUE,"0008";#N/A,#N/A,TRUE,"0009";#N/A,#N/A,TRUE,"0010"}</definedName>
    <definedName name="Supervía_1" localSheetId="26" hidden="1">{#N/A,#N/A,TRUE,"0001";#N/A,#N/A,TRUE,"0002";#N/A,#N/A,TRUE,"0003";#N/A,#N/A,TRUE,"0004";#N/A,#N/A,TRUE,"0005";#N/A,#N/A,TRUE,"0006";#N/A,#N/A,TRUE,"0007";#N/A,#N/A,TRUE,"0008";#N/A,#N/A,TRUE,"0009";#N/A,#N/A,TRUE,"0010"}</definedName>
    <definedName name="Supervía_1" localSheetId="4" hidden="1">{#N/A,#N/A,TRUE,"0001";#N/A,#N/A,TRUE,"0002";#N/A,#N/A,TRUE,"0003";#N/A,#N/A,TRUE,"0004";#N/A,#N/A,TRUE,"0005";#N/A,#N/A,TRUE,"0006";#N/A,#N/A,TRUE,"0007";#N/A,#N/A,TRUE,"0008";#N/A,#N/A,TRUE,"0009";#N/A,#N/A,TRUE,"0010"}</definedName>
    <definedName name="Supervía_1" localSheetId="28" hidden="1">{#N/A,#N/A,TRUE,"0001";#N/A,#N/A,TRUE,"0002";#N/A,#N/A,TRUE,"0003";#N/A,#N/A,TRUE,"0004";#N/A,#N/A,TRUE,"0005";#N/A,#N/A,TRUE,"0006";#N/A,#N/A,TRUE,"0007";#N/A,#N/A,TRUE,"0008";#N/A,#N/A,TRUE,"0009";#N/A,#N/A,TRUE,"0010"}</definedName>
    <definedName name="Supervía_1" localSheetId="23" hidden="1">{#N/A,#N/A,TRUE,"0001";#N/A,#N/A,TRUE,"0002";#N/A,#N/A,TRUE,"0003";#N/A,#N/A,TRUE,"0004";#N/A,#N/A,TRUE,"0005";#N/A,#N/A,TRUE,"0006";#N/A,#N/A,TRUE,"0007";#N/A,#N/A,TRUE,"0008";#N/A,#N/A,TRUE,"0009";#N/A,#N/A,TRUE,"0010"}</definedName>
    <definedName name="Supervía_1" localSheetId="27" hidden="1">{#N/A,#N/A,TRUE,"0001";#N/A,#N/A,TRUE,"0002";#N/A,#N/A,TRUE,"0003";#N/A,#N/A,TRUE,"0004";#N/A,#N/A,TRUE,"0005";#N/A,#N/A,TRUE,"0006";#N/A,#N/A,TRUE,"0007";#N/A,#N/A,TRUE,"0008";#N/A,#N/A,TRUE,"0009";#N/A,#N/A,TRUE,"0010"}</definedName>
    <definedName name="Supervía_1" hidden="1">{#N/A,#N/A,TRUE,"0001";#N/A,#N/A,TRUE,"0002";#N/A,#N/A,TRUE,"0003";#N/A,#N/A,TRUE,"0004";#N/A,#N/A,TRUE,"0005";#N/A,#N/A,TRUE,"0006";#N/A,#N/A,TRUE,"0007";#N/A,#N/A,TRUE,"0008";#N/A,#N/A,TRUE,"0009";#N/A,#N/A,TRUE,"0010"}</definedName>
    <definedName name="Taxpb" localSheetId="6" hidden="1">#REF!</definedName>
    <definedName name="Taxpb" localSheetId="26" hidden="1">#REF!</definedName>
    <definedName name="Taxpb" localSheetId="4" hidden="1">#REF!</definedName>
    <definedName name="Taxpb" localSheetId="27" hidden="1">#REF!</definedName>
    <definedName name="Taxpb" hidden="1">#REF!</definedName>
    <definedName name="Titlepb" localSheetId="6" hidden="1">#REF!</definedName>
    <definedName name="Titlepb" localSheetId="26" hidden="1">#REF!</definedName>
    <definedName name="Titlepb" localSheetId="4" hidden="1">#REF!</definedName>
    <definedName name="Titlepb" localSheetId="27" hidden="1">#REF!</definedName>
    <definedName name="Titlepb" hidden="1">#REF!</definedName>
    <definedName name="TRANSPORI" localSheetId="6" hidden="1">{#N/A,#N/A,TRUE,"INGENIERIA";#N/A,#N/A,TRUE,"COMPRAS";#N/A,#N/A,TRUE,"DIRECCION";#N/A,#N/A,TRUE,"RESUMEN"}</definedName>
    <definedName name="TRANSPORI" localSheetId="29" hidden="1">{#N/A,#N/A,TRUE,"INGENIERIA";#N/A,#N/A,TRUE,"COMPRAS";#N/A,#N/A,TRUE,"DIRECCION";#N/A,#N/A,TRUE,"RESUMEN"}</definedName>
    <definedName name="TRANSPORI" localSheetId="26" hidden="1">{#N/A,#N/A,TRUE,"INGENIERIA";#N/A,#N/A,TRUE,"COMPRAS";#N/A,#N/A,TRUE,"DIRECCION";#N/A,#N/A,TRUE,"RESUMEN"}</definedName>
    <definedName name="TRANSPORI" localSheetId="4" hidden="1">{#N/A,#N/A,TRUE,"INGENIERIA";#N/A,#N/A,TRUE,"COMPRAS";#N/A,#N/A,TRUE,"DIRECCION";#N/A,#N/A,TRUE,"RESUMEN"}</definedName>
    <definedName name="TRANSPORI" localSheetId="28" hidden="1">{#N/A,#N/A,TRUE,"INGENIERIA";#N/A,#N/A,TRUE,"COMPRAS";#N/A,#N/A,TRUE,"DIRECCION";#N/A,#N/A,TRUE,"RESUMEN"}</definedName>
    <definedName name="TRANSPORI" localSheetId="23" hidden="1">{#N/A,#N/A,TRUE,"INGENIERIA";#N/A,#N/A,TRUE,"COMPRAS";#N/A,#N/A,TRUE,"DIRECCION";#N/A,#N/A,TRUE,"RESUMEN"}</definedName>
    <definedName name="TRANSPORI" localSheetId="27" hidden="1">{#N/A,#N/A,TRUE,"INGENIERIA";#N/A,#N/A,TRUE,"COMPRAS";#N/A,#N/A,TRUE,"DIRECCION";#N/A,#N/A,TRUE,"RESUMEN"}</definedName>
    <definedName name="TRANSPORI" hidden="1">{#N/A,#N/A,TRUE,"INGENIERIA";#N/A,#N/A,TRUE,"COMPRAS";#N/A,#N/A,TRUE,"DIRECCION";#N/A,#N/A,TRUE,"RESUMEN"}</definedName>
    <definedName name="TRANSPORTE" localSheetId="6" hidden="1">{#N/A,#N/A,TRUE,"INGENIERIA";#N/A,#N/A,TRUE,"COMPRAS";#N/A,#N/A,TRUE,"DIRECCION";#N/A,#N/A,TRUE,"RESUMEN"}</definedName>
    <definedName name="TRANSPORTE" localSheetId="4" hidden="1">{#N/A,#N/A,TRUE,"INGENIERIA";#N/A,#N/A,TRUE,"COMPRAS";#N/A,#N/A,TRUE,"DIRECCION";#N/A,#N/A,TRUE,"RESUMEN"}</definedName>
    <definedName name="TRANSPORTE" localSheetId="27" hidden="1">{#N/A,#N/A,TRUE,"INGENIERIA";#N/A,#N/A,TRUE,"COMPRAS";#N/A,#N/A,TRUE,"DIRECCION";#N/A,#N/A,TRUE,"RESUMEN"}</definedName>
    <definedName name="TRANSPORTE" hidden="1">{#N/A,#N/A,TRUE,"INGENIERIA";#N/A,#N/A,TRUE,"COMPRAS";#N/A,#N/A,TRUE,"DIRECCION";#N/A,#N/A,TRUE,"RESUMEN"}</definedName>
    <definedName name="Unit" localSheetId="6" hidden="1">#REF!</definedName>
    <definedName name="Unit" localSheetId="26" hidden="1">#REF!</definedName>
    <definedName name="Unit" localSheetId="4" hidden="1">#REF!</definedName>
    <definedName name="Unit" localSheetId="27" hidden="1">#REF!</definedName>
    <definedName name="Unit" hidden="1">#REF!</definedName>
    <definedName name="usuv">[1]Resumen!$B$11</definedName>
    <definedName name="uuuu" localSheetId="6" hidden="1">#REF!</definedName>
    <definedName name="uuuu" localSheetId="26" hidden="1">#REF!</definedName>
    <definedName name="uuuu" localSheetId="4" hidden="1">#REF!</definedName>
    <definedName name="uuuu" localSheetId="27" hidden="1">#REF!</definedName>
    <definedName name="uuuu" hidden="1">#REF!</definedName>
    <definedName name="via" localSheetId="6" hidden="1">{"via1",#N/A,TRUE,"general";"via2",#N/A,TRUE,"general";"via3",#N/A,TRUE,"general"}</definedName>
    <definedName name="via" localSheetId="29" hidden="1">{"via1",#N/A,TRUE,"general";"via2",#N/A,TRUE,"general";"via3",#N/A,TRUE,"general"}</definedName>
    <definedName name="via" localSheetId="26" hidden="1">{"via1",#N/A,TRUE,"general";"via2",#N/A,TRUE,"general";"via3",#N/A,TRUE,"general"}</definedName>
    <definedName name="via" localSheetId="4" hidden="1">{"via1",#N/A,TRUE,"general";"via2",#N/A,TRUE,"general";"via3",#N/A,TRUE,"general"}</definedName>
    <definedName name="via" localSheetId="28" hidden="1">{"via1",#N/A,TRUE,"general";"via2",#N/A,TRUE,"general";"via3",#N/A,TRUE,"general"}</definedName>
    <definedName name="via" localSheetId="23" hidden="1">{"via1",#N/A,TRUE,"general";"via2",#N/A,TRUE,"general";"via3",#N/A,TRUE,"general"}</definedName>
    <definedName name="via" localSheetId="27" hidden="1">{"via1",#N/A,TRUE,"general";"via2",#N/A,TRUE,"general";"via3",#N/A,TRUE,"general"}</definedName>
    <definedName name="via" hidden="1">{"via1",#N/A,TRUE,"general";"via2",#N/A,TRUE,"general";"via3",#N/A,TRUE,"general"}</definedName>
    <definedName name="via_1" localSheetId="6" hidden="1">{"via1",#N/A,TRUE,"general";"via2",#N/A,TRUE,"general";"via3",#N/A,TRUE,"general"}</definedName>
    <definedName name="via_1" localSheetId="29" hidden="1">{"via1",#N/A,TRUE,"general";"via2",#N/A,TRUE,"general";"via3",#N/A,TRUE,"general"}</definedName>
    <definedName name="via_1" localSheetId="26" hidden="1">{"via1",#N/A,TRUE,"general";"via2",#N/A,TRUE,"general";"via3",#N/A,TRUE,"general"}</definedName>
    <definedName name="via_1" localSheetId="4" hidden="1">{"via1",#N/A,TRUE,"general";"via2",#N/A,TRUE,"general";"via3",#N/A,TRUE,"general"}</definedName>
    <definedName name="via_1" localSheetId="28" hidden="1">{"via1",#N/A,TRUE,"general";"via2",#N/A,TRUE,"general";"via3",#N/A,TRUE,"general"}</definedName>
    <definedName name="via_1" localSheetId="23" hidden="1">{"via1",#N/A,TRUE,"general";"via2",#N/A,TRUE,"general";"via3",#N/A,TRUE,"general"}</definedName>
    <definedName name="via_1" localSheetId="27" hidden="1">{"via1",#N/A,TRUE,"general";"via2",#N/A,TRUE,"general";"via3",#N/A,TRUE,"general"}</definedName>
    <definedName name="via_1" hidden="1">{"via1",#N/A,TRUE,"general";"via2",#N/A,TRUE,"general";"via3",#N/A,TRUE,"general"}</definedName>
    <definedName name="w" localSheetId="6" hidden="1">#REF!</definedName>
    <definedName name="w" localSheetId="26" hidden="1">#REF!</definedName>
    <definedName name="w" localSheetId="4" hidden="1">#REF!</definedName>
    <definedName name="w" localSheetId="27" hidden="1">#REF!</definedName>
    <definedName name="w" hidden="1">#REF!</definedName>
    <definedName name="wqw" localSheetId="6" hidden="1">#REF!</definedName>
    <definedName name="wqw" localSheetId="26" hidden="1">#REF!</definedName>
    <definedName name="wqw" localSheetId="4" hidden="1">#REF!</definedName>
    <definedName name="wqw" localSheetId="27" hidden="1">#REF!</definedName>
    <definedName name="wqw" hidden="1">#REF!</definedName>
    <definedName name="wrn.ar." localSheetId="6" hidden="1">{#N/A,#N/A,TRUE,"CODIGO DEPENDENCIA"}</definedName>
    <definedName name="wrn.ar." localSheetId="29" hidden="1">{#N/A,#N/A,TRUE,"CODIGO DEPENDENCIA"}</definedName>
    <definedName name="wrn.ar." localSheetId="26" hidden="1">{#N/A,#N/A,TRUE,"CODIGO DEPENDENCIA"}</definedName>
    <definedName name="wrn.ar." localSheetId="4" hidden="1">{#N/A,#N/A,TRUE,"CODIGO DEPENDENCIA"}</definedName>
    <definedName name="wrn.ar." localSheetId="28" hidden="1">{#N/A,#N/A,TRUE,"CODIGO DEPENDENCIA"}</definedName>
    <definedName name="wrn.ar." localSheetId="23" hidden="1">{#N/A,#N/A,TRUE,"CODIGO DEPENDENCIA"}</definedName>
    <definedName name="wrn.ar." localSheetId="27" hidden="1">{#N/A,#N/A,TRUE,"CODIGO DEPENDENCIA"}</definedName>
    <definedName name="wrn.ar." hidden="1">{#N/A,#N/A,TRUE,"CODIGO DEPENDENCIA"}</definedName>
    <definedName name="wrn.Financial._.Statements." localSheetId="6"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29"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26"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4"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28"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23"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27"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6"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29"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26"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4"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28"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23"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27"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ORMATOS." localSheetId="6"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29"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26"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28"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2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27"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Ull._.Model." localSheetId="6"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29"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26"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4"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28"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23"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27"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6"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29"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26"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4"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28"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23"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27"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GENERAL." localSheetId="6" hidden="1">{"TAB1",#N/A,TRUE,"GENERAL";"TAB2",#N/A,TRUE,"GENERAL";"TAB3",#N/A,TRUE,"GENERAL";"TAB4",#N/A,TRUE,"GENERAL";"TAB5",#N/A,TRUE,"GENERAL"}</definedName>
    <definedName name="wrn.GENERAL." localSheetId="29" hidden="1">{"TAB1",#N/A,TRUE,"GENERAL";"TAB2",#N/A,TRUE,"GENERAL";"TAB3",#N/A,TRUE,"GENERAL";"TAB4",#N/A,TRUE,"GENERAL";"TAB5",#N/A,TRUE,"GENERAL"}</definedName>
    <definedName name="wrn.GENERAL." localSheetId="26" hidden="1">{"TAB1",#N/A,TRUE,"GENERAL";"TAB2",#N/A,TRUE,"GENERAL";"TAB3",#N/A,TRUE,"GENERAL";"TAB4",#N/A,TRUE,"GENERAL";"TAB5",#N/A,TRUE,"GENERAL"}</definedName>
    <definedName name="wrn.GENERAL." localSheetId="4" hidden="1">{"TAB1",#N/A,TRUE,"GENERAL";"TAB2",#N/A,TRUE,"GENERAL";"TAB3",#N/A,TRUE,"GENERAL";"TAB4",#N/A,TRUE,"GENERAL";"TAB5",#N/A,TRUE,"GENERAL"}</definedName>
    <definedName name="wrn.GENERAL." localSheetId="28" hidden="1">{"TAB1",#N/A,TRUE,"GENERAL";"TAB2",#N/A,TRUE,"GENERAL";"TAB3",#N/A,TRUE,"GENERAL";"TAB4",#N/A,TRUE,"GENERAL";"TAB5",#N/A,TRUE,"GENERAL"}</definedName>
    <definedName name="wrn.GENERAL." localSheetId="23" hidden="1">{"TAB1",#N/A,TRUE,"GENERAL";"TAB2",#N/A,TRUE,"GENERAL";"TAB3",#N/A,TRUE,"GENERAL";"TAB4",#N/A,TRUE,"GENERAL";"TAB5",#N/A,TRUE,"GENERAL"}</definedName>
    <definedName name="wrn.GENERAL." localSheetId="27" hidden="1">{"TAB1",#N/A,TRUE,"GENERAL";"TAB2",#N/A,TRUE,"GENERAL";"TAB3",#N/A,TRUE,"GENERAL";"TAB4",#N/A,TRUE,"GENERAL";"TAB5",#N/A,TRUE,"GENERAL"}</definedName>
    <definedName name="wrn.GENERAL." hidden="1">{"TAB1",#N/A,TRUE,"GENERAL";"TAB2",#N/A,TRUE,"GENERAL";"TAB3",#N/A,TRUE,"GENERAL";"TAB4",#N/A,TRUE,"GENERAL";"TAB5",#N/A,TRUE,"GENERAL"}</definedName>
    <definedName name="wrn.GENERAL._1" localSheetId="6" hidden="1">{"TAB1",#N/A,TRUE,"GENERAL";"TAB2",#N/A,TRUE,"GENERAL";"TAB3",#N/A,TRUE,"GENERAL";"TAB4",#N/A,TRUE,"GENERAL";"TAB5",#N/A,TRUE,"GENERAL"}</definedName>
    <definedName name="wrn.GENERAL._1" localSheetId="29" hidden="1">{"TAB1",#N/A,TRUE,"GENERAL";"TAB2",#N/A,TRUE,"GENERAL";"TAB3",#N/A,TRUE,"GENERAL";"TAB4",#N/A,TRUE,"GENERAL";"TAB5",#N/A,TRUE,"GENERAL"}</definedName>
    <definedName name="wrn.GENERAL._1" localSheetId="26" hidden="1">{"TAB1",#N/A,TRUE,"GENERAL";"TAB2",#N/A,TRUE,"GENERAL";"TAB3",#N/A,TRUE,"GENERAL";"TAB4",#N/A,TRUE,"GENERAL";"TAB5",#N/A,TRUE,"GENERAL"}</definedName>
    <definedName name="wrn.GENERAL._1" localSheetId="4" hidden="1">{"TAB1",#N/A,TRUE,"GENERAL";"TAB2",#N/A,TRUE,"GENERAL";"TAB3",#N/A,TRUE,"GENERAL";"TAB4",#N/A,TRUE,"GENERAL";"TAB5",#N/A,TRUE,"GENERAL"}</definedName>
    <definedName name="wrn.GENERAL._1" localSheetId="28" hidden="1">{"TAB1",#N/A,TRUE,"GENERAL";"TAB2",#N/A,TRUE,"GENERAL";"TAB3",#N/A,TRUE,"GENERAL";"TAB4",#N/A,TRUE,"GENERAL";"TAB5",#N/A,TRUE,"GENERAL"}</definedName>
    <definedName name="wrn.GENERAL._1" localSheetId="23" hidden="1">{"TAB1",#N/A,TRUE,"GENERAL";"TAB2",#N/A,TRUE,"GENERAL";"TAB3",#N/A,TRUE,"GENERAL";"TAB4",#N/A,TRUE,"GENERAL";"TAB5",#N/A,TRUE,"GENERAL"}</definedName>
    <definedName name="wrn.GENERAL._1" localSheetId="27" hidden="1">{"TAB1",#N/A,TRUE,"GENERAL";"TAB2",#N/A,TRUE,"GENERAL";"TAB3",#N/A,TRUE,"GENERAL";"TAB4",#N/A,TRUE,"GENERAL";"TAB5",#N/A,TRUE,"GENERAL"}</definedName>
    <definedName name="wrn.GENERAL._1" hidden="1">{"TAB1",#N/A,TRUE,"GENERAL";"TAB2",#N/A,TRUE,"GENERAL";"TAB3",#N/A,TRUE,"GENERAL";"TAB4",#N/A,TRUE,"GENERAL";"TAB5",#N/A,TRUE,"GENERAL"}</definedName>
    <definedName name="wrn.GERENCIA." localSheetId="6" hidden="1">{#N/A,#N/A,TRUE,"INGENIERIA";#N/A,#N/A,TRUE,"COMPRAS";#N/A,#N/A,TRUE,"DIRECCION";#N/A,#N/A,TRUE,"RESUMEN"}</definedName>
    <definedName name="wrn.GERENCIA." localSheetId="29" hidden="1">{#N/A,#N/A,TRUE,"INGENIERIA";#N/A,#N/A,TRUE,"COMPRAS";#N/A,#N/A,TRUE,"DIRECCION";#N/A,#N/A,TRUE,"RESUMEN"}</definedName>
    <definedName name="wrn.GERENCIA." localSheetId="26" hidden="1">{#N/A,#N/A,TRUE,"INGENIERIA";#N/A,#N/A,TRUE,"COMPRAS";#N/A,#N/A,TRUE,"DIRECCION";#N/A,#N/A,TRUE,"RESUMEN"}</definedName>
    <definedName name="wrn.GERENCIA." localSheetId="4" hidden="1">{#N/A,#N/A,TRUE,"INGENIERIA";#N/A,#N/A,TRUE,"COMPRAS";#N/A,#N/A,TRUE,"DIRECCION";#N/A,#N/A,TRUE,"RESUMEN"}</definedName>
    <definedName name="wrn.GERENCIA." localSheetId="28" hidden="1">{#N/A,#N/A,TRUE,"INGENIERIA";#N/A,#N/A,TRUE,"COMPRAS";#N/A,#N/A,TRUE,"DIRECCION";#N/A,#N/A,TRUE,"RESUMEN"}</definedName>
    <definedName name="wrn.GERENCIA." localSheetId="23" hidden="1">{#N/A,#N/A,TRUE,"INGENIERIA";#N/A,#N/A,TRUE,"COMPRAS";#N/A,#N/A,TRUE,"DIRECCION";#N/A,#N/A,TRUE,"RESUMEN"}</definedName>
    <definedName name="wrn.GERENCIA." localSheetId="27" hidden="1">{#N/A,#N/A,TRUE,"INGENIERIA";#N/A,#N/A,TRUE,"COMPRAS";#N/A,#N/A,TRUE,"DIRECCION";#N/A,#N/A,TRUE,"RESUMEN"}</definedName>
    <definedName name="wrn.GERENCIA." hidden="1">{#N/A,#N/A,TRUE,"INGENIERIA";#N/A,#N/A,TRUE,"COMPRAS";#N/A,#N/A,TRUE,"DIRECCION";#N/A,#N/A,TRUE,"RESUMEN"}</definedName>
    <definedName name="wrn.Restructuring._.Summaries." localSheetId="6" hidden="1">{#N/A,#N/A,TRUE,"Transaction Summary";#N/A,#N/A,TRUE,"Restructuring Sensitivities";#N/A,#N/A,TRUE,"DCF";#N/A,#N/A,TRUE,"IRR";#N/A,#N/A,TRUE,"Debt Capacity"}</definedName>
    <definedName name="wrn.Restructuring._.Summaries." localSheetId="29" hidden="1">{#N/A,#N/A,TRUE,"Transaction Summary";#N/A,#N/A,TRUE,"Restructuring Sensitivities";#N/A,#N/A,TRUE,"DCF";#N/A,#N/A,TRUE,"IRR";#N/A,#N/A,TRUE,"Debt Capacity"}</definedName>
    <definedName name="wrn.Restructuring._.Summaries." localSheetId="26" hidden="1">{#N/A,#N/A,TRUE,"Transaction Summary";#N/A,#N/A,TRUE,"Restructuring Sensitivities";#N/A,#N/A,TRUE,"DCF";#N/A,#N/A,TRUE,"IRR";#N/A,#N/A,TRUE,"Debt Capacity"}</definedName>
    <definedName name="wrn.Restructuring._.Summaries." localSheetId="4" hidden="1">{#N/A,#N/A,TRUE,"Transaction Summary";#N/A,#N/A,TRUE,"Restructuring Sensitivities";#N/A,#N/A,TRUE,"DCF";#N/A,#N/A,TRUE,"IRR";#N/A,#N/A,TRUE,"Debt Capacity"}</definedName>
    <definedName name="wrn.Restructuring._.Summaries." localSheetId="28" hidden="1">{#N/A,#N/A,TRUE,"Transaction Summary";#N/A,#N/A,TRUE,"Restructuring Sensitivities";#N/A,#N/A,TRUE,"DCF";#N/A,#N/A,TRUE,"IRR";#N/A,#N/A,TRUE,"Debt Capacity"}</definedName>
    <definedName name="wrn.Restructuring._.Summaries." localSheetId="23" hidden="1">{#N/A,#N/A,TRUE,"Transaction Summary";#N/A,#N/A,TRUE,"Restructuring Sensitivities";#N/A,#N/A,TRUE,"DCF";#N/A,#N/A,TRUE,"IRR";#N/A,#N/A,TRUE,"Debt Capacity"}</definedName>
    <definedName name="wrn.Restructuring._.Summaries." localSheetId="27" hidden="1">{#N/A,#N/A,TRUE,"Transaction Summary";#N/A,#N/A,TRUE,"Restructuring Sensitivities";#N/A,#N/A,TRUE,"DCF";#N/A,#N/A,TRUE,"IRR";#N/A,#N/A,TRUE,"Debt Capacity"}</definedName>
    <definedName name="wrn.Restructuring._.Summaries." hidden="1">{#N/A,#N/A,TRUE,"Transaction Summary";#N/A,#N/A,TRUE,"Restructuring Sensitivities";#N/A,#N/A,TRUE,"DCF";#N/A,#N/A,TRUE,"IRR";#N/A,#N/A,TRUE,"Debt Capacity"}</definedName>
    <definedName name="wrn.Restructuring._.Summaries._1" localSheetId="6" hidden="1">{#N/A,#N/A,TRUE,"Transaction Summary";#N/A,#N/A,TRUE,"Restructuring Sensitivities";#N/A,#N/A,TRUE,"DCF";#N/A,#N/A,TRUE,"IRR";#N/A,#N/A,TRUE,"Debt Capacity"}</definedName>
    <definedName name="wrn.Restructuring._.Summaries._1" localSheetId="29" hidden="1">{#N/A,#N/A,TRUE,"Transaction Summary";#N/A,#N/A,TRUE,"Restructuring Sensitivities";#N/A,#N/A,TRUE,"DCF";#N/A,#N/A,TRUE,"IRR";#N/A,#N/A,TRUE,"Debt Capacity"}</definedName>
    <definedName name="wrn.Restructuring._.Summaries._1" localSheetId="26" hidden="1">{#N/A,#N/A,TRUE,"Transaction Summary";#N/A,#N/A,TRUE,"Restructuring Sensitivities";#N/A,#N/A,TRUE,"DCF";#N/A,#N/A,TRUE,"IRR";#N/A,#N/A,TRUE,"Debt Capacity"}</definedName>
    <definedName name="wrn.Restructuring._.Summaries._1" localSheetId="4" hidden="1">{#N/A,#N/A,TRUE,"Transaction Summary";#N/A,#N/A,TRUE,"Restructuring Sensitivities";#N/A,#N/A,TRUE,"DCF";#N/A,#N/A,TRUE,"IRR";#N/A,#N/A,TRUE,"Debt Capacity"}</definedName>
    <definedName name="wrn.Restructuring._.Summaries._1" localSheetId="28" hidden="1">{#N/A,#N/A,TRUE,"Transaction Summary";#N/A,#N/A,TRUE,"Restructuring Sensitivities";#N/A,#N/A,TRUE,"DCF";#N/A,#N/A,TRUE,"IRR";#N/A,#N/A,TRUE,"Debt Capacity"}</definedName>
    <definedName name="wrn.Restructuring._.Summaries._1" localSheetId="23" hidden="1">{#N/A,#N/A,TRUE,"Transaction Summary";#N/A,#N/A,TRUE,"Restructuring Sensitivities";#N/A,#N/A,TRUE,"DCF";#N/A,#N/A,TRUE,"IRR";#N/A,#N/A,TRUE,"Debt Capacity"}</definedName>
    <definedName name="wrn.Restructuring._.Summaries._1" localSheetId="27" hidden="1">{#N/A,#N/A,TRUE,"Transaction Summary";#N/A,#N/A,TRUE,"Restructuring Sensitivities";#N/A,#N/A,TRUE,"DCF";#N/A,#N/A,TRUE,"IRR";#N/A,#N/A,TRUE,"Debt Capacity"}</definedName>
    <definedName name="wrn.Restructuring._.Summaries._1" hidden="1">{#N/A,#N/A,TRUE,"Transaction Summary";#N/A,#N/A,TRUE,"Restructuring Sensitivities";#N/A,#N/A,TRUE,"DCF";#N/A,#N/A,TRUE,"IRR";#N/A,#N/A,TRUE,"Debt Capacity"}</definedName>
    <definedName name="wrn.resumen." localSheetId="6" hidden="1">{"total",#N/A,FALSE,"TD 0% ";"total",#N/A,FALSE,"TD 12%";"total",#N/A,FALSE,"TD 10%"}</definedName>
    <definedName name="wrn.resumen." localSheetId="29" hidden="1">{"total",#N/A,FALSE,"TD 0% ";"total",#N/A,FALSE,"TD 12%";"total",#N/A,FALSE,"TD 10%"}</definedName>
    <definedName name="wrn.resumen." localSheetId="26" hidden="1">{"total",#N/A,FALSE,"TD 0% ";"total",#N/A,FALSE,"TD 12%";"total",#N/A,FALSE,"TD 10%"}</definedName>
    <definedName name="wrn.resumen." localSheetId="4" hidden="1">{"total",#N/A,FALSE,"TD 0% ";"total",#N/A,FALSE,"TD 12%";"total",#N/A,FALSE,"TD 10%"}</definedName>
    <definedName name="wrn.resumen." localSheetId="28" hidden="1">{"total",#N/A,FALSE,"TD 0% ";"total",#N/A,FALSE,"TD 12%";"total",#N/A,FALSE,"TD 10%"}</definedName>
    <definedName name="wrn.resumen." localSheetId="23" hidden="1">{"total",#N/A,FALSE,"TD 0% ";"total",#N/A,FALSE,"TD 12%";"total",#N/A,FALSE,"TD 10%"}</definedName>
    <definedName name="wrn.resumen." localSheetId="27" hidden="1">{"total",#N/A,FALSE,"TD 0% ";"total",#N/A,FALSE,"TD 12%";"total",#N/A,FALSE,"TD 10%"}</definedName>
    <definedName name="wrn.resumen." hidden="1">{"total",#N/A,FALSE,"TD 0% ";"total",#N/A,FALSE,"TD 12%";"total",#N/A,FALSE,"TD 10%"}</definedName>
    <definedName name="wrn.via." localSheetId="6" hidden="1">{"via1",#N/A,TRUE,"general";"via2",#N/A,TRUE,"general";"via3",#N/A,TRUE,"general"}</definedName>
    <definedName name="wrn.via." localSheetId="29" hidden="1">{"via1",#N/A,TRUE,"general";"via2",#N/A,TRUE,"general";"via3",#N/A,TRUE,"general"}</definedName>
    <definedName name="wrn.via." localSheetId="26" hidden="1">{"via1",#N/A,TRUE,"general";"via2",#N/A,TRUE,"general";"via3",#N/A,TRUE,"general"}</definedName>
    <definedName name="wrn.via." localSheetId="4" hidden="1">{"via1",#N/A,TRUE,"general";"via2",#N/A,TRUE,"general";"via3",#N/A,TRUE,"general"}</definedName>
    <definedName name="wrn.via." localSheetId="28" hidden="1">{"via1",#N/A,TRUE,"general";"via2",#N/A,TRUE,"general";"via3",#N/A,TRUE,"general"}</definedName>
    <definedName name="wrn.via." localSheetId="23" hidden="1">{"via1",#N/A,TRUE,"general";"via2",#N/A,TRUE,"general";"via3",#N/A,TRUE,"general"}</definedName>
    <definedName name="wrn.via." localSheetId="27" hidden="1">{"via1",#N/A,TRUE,"general";"via2",#N/A,TRUE,"general";"via3",#N/A,TRUE,"general"}</definedName>
    <definedName name="wrn.via." hidden="1">{"via1",#N/A,TRUE,"general";"via2",#N/A,TRUE,"general";"via3",#N/A,TRUE,"general"}</definedName>
    <definedName name="wrn.via._1" localSheetId="6" hidden="1">{"via1",#N/A,TRUE,"general";"via2",#N/A,TRUE,"general";"via3",#N/A,TRUE,"general"}</definedName>
    <definedName name="wrn.via._1" localSheetId="29" hidden="1">{"via1",#N/A,TRUE,"general";"via2",#N/A,TRUE,"general";"via3",#N/A,TRUE,"general"}</definedName>
    <definedName name="wrn.via._1" localSheetId="26" hidden="1">{"via1",#N/A,TRUE,"general";"via2",#N/A,TRUE,"general";"via3",#N/A,TRUE,"general"}</definedName>
    <definedName name="wrn.via._1" localSheetId="4" hidden="1">{"via1",#N/A,TRUE,"general";"via2",#N/A,TRUE,"general";"via3",#N/A,TRUE,"general"}</definedName>
    <definedName name="wrn.via._1" localSheetId="28" hidden="1">{"via1",#N/A,TRUE,"general";"via2",#N/A,TRUE,"general";"via3",#N/A,TRUE,"general"}</definedName>
    <definedName name="wrn.via._1" localSheetId="23" hidden="1">{"via1",#N/A,TRUE,"general";"via2",#N/A,TRUE,"general";"via3",#N/A,TRUE,"general"}</definedName>
    <definedName name="wrn.via._1" localSheetId="27" hidden="1">{"via1",#N/A,TRUE,"general";"via2",#N/A,TRUE,"general";"via3",#N/A,TRUE,"general"}</definedName>
    <definedName name="wrn.via._1" hidden="1">{"via1",#N/A,TRUE,"general";"via2",#N/A,TRUE,"general";"via3",#N/A,TRUE,"general"}</definedName>
    <definedName name="XXXXX" localSheetId="6"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29"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26"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28"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2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27"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X" localSheetId="6" hidden="1">{#N/A,#N/A,TRUE,"INGENIERIA";#N/A,#N/A,TRUE,"COMPRAS";#N/A,#N/A,TRUE,"DIRECCION";#N/A,#N/A,TRUE,"RESUMEN"}</definedName>
    <definedName name="XXXXXX" localSheetId="29" hidden="1">{#N/A,#N/A,TRUE,"INGENIERIA";#N/A,#N/A,TRUE,"COMPRAS";#N/A,#N/A,TRUE,"DIRECCION";#N/A,#N/A,TRUE,"RESUMEN"}</definedName>
    <definedName name="XXXXXX" localSheetId="26" hidden="1">{#N/A,#N/A,TRUE,"INGENIERIA";#N/A,#N/A,TRUE,"COMPRAS";#N/A,#N/A,TRUE,"DIRECCION";#N/A,#N/A,TRUE,"RESUMEN"}</definedName>
    <definedName name="XXXXXX" localSheetId="4" hidden="1">{#N/A,#N/A,TRUE,"INGENIERIA";#N/A,#N/A,TRUE,"COMPRAS";#N/A,#N/A,TRUE,"DIRECCION";#N/A,#N/A,TRUE,"RESUMEN"}</definedName>
    <definedName name="XXXXXX" localSheetId="28" hidden="1">{#N/A,#N/A,TRUE,"INGENIERIA";#N/A,#N/A,TRUE,"COMPRAS";#N/A,#N/A,TRUE,"DIRECCION";#N/A,#N/A,TRUE,"RESUMEN"}</definedName>
    <definedName name="XXXXXX" localSheetId="23" hidden="1">{#N/A,#N/A,TRUE,"INGENIERIA";#N/A,#N/A,TRUE,"COMPRAS";#N/A,#N/A,TRUE,"DIRECCION";#N/A,#N/A,TRUE,"RESUMEN"}</definedName>
    <definedName name="XXXXXX" localSheetId="27" hidden="1">{#N/A,#N/A,TRUE,"INGENIERIA";#N/A,#N/A,TRUE,"COMPRAS";#N/A,#N/A,TRUE,"DIRECCION";#N/A,#N/A,TRUE,"RESUMEN"}</definedName>
    <definedName name="XXXXXX" hidden="1">{#N/A,#N/A,TRUE,"INGENIERIA";#N/A,#N/A,TRUE,"COMPRAS";#N/A,#N/A,TRUE,"DIRECCION";#N/A,#N/A,TRUE,"RESUMEN"}</definedName>
    <definedName name="xyz" localSheetId="6" hidden="1">#REF!</definedName>
    <definedName name="xyz" localSheetId="26" hidden="1">#REF!</definedName>
    <definedName name="xyz" localSheetId="4" hidden="1">#REF!</definedName>
    <definedName name="xyz" localSheetId="27" hidden="1">#REF!</definedName>
    <definedName name="xyz" hidden="1">#REF!</definedName>
    <definedName name="yyyyyy" localSheetId="6" hidden="1">#REF!</definedName>
    <definedName name="yyyyyy" localSheetId="29" hidden="1">#REF!</definedName>
    <definedName name="yyyyyy" localSheetId="26" hidden="1">#REF!</definedName>
    <definedName name="yyyyyy" localSheetId="4" hidden="1">#REF!</definedName>
    <definedName name="yyyyyy" localSheetId="27" hidden="1">#REF!</definedName>
    <definedName name="yyyyyy" hidden="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10" l="1"/>
  <c r="C40" i="3"/>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H137" i="10"/>
  <c r="H138" i="10"/>
  <c r="H139" i="10"/>
  <c r="H140" i="10"/>
  <c r="H141" i="10"/>
  <c r="H142" i="10"/>
  <c r="H143"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H173" i="10"/>
  <c r="H174" i="10"/>
  <c r="H175" i="10"/>
  <c r="H176" i="10"/>
  <c r="H177" i="10"/>
  <c r="H178" i="10"/>
  <c r="H179" i="10"/>
  <c r="H180" i="10"/>
  <c r="H181" i="10"/>
  <c r="H182" i="10"/>
  <c r="H183" i="10"/>
  <c r="H184" i="10"/>
  <c r="H185" i="10"/>
  <c r="H186" i="10"/>
  <c r="H187" i="10"/>
  <c r="H188" i="10"/>
  <c r="H189" i="10"/>
  <c r="H190" i="10"/>
  <c r="H191" i="10"/>
  <c r="H192" i="10"/>
  <c r="H193" i="10"/>
  <c r="H194" i="10"/>
  <c r="H195" i="10"/>
  <c r="H196" i="10"/>
  <c r="H197" i="10"/>
  <c r="H198" i="10"/>
  <c r="H199" i="10"/>
  <c r="H200" i="10"/>
  <c r="H201" i="10"/>
  <c r="H202" i="10"/>
  <c r="H203" i="10"/>
  <c r="H204" i="10"/>
  <c r="H205" i="10"/>
  <c r="H206" i="10"/>
  <c r="H207" i="10"/>
  <c r="H208" i="10"/>
  <c r="H209" i="10"/>
  <c r="H210" i="10"/>
  <c r="H211" i="10"/>
  <c r="H212" i="10"/>
  <c r="H213" i="10"/>
  <c r="H214" i="10"/>
  <c r="H215" i="10"/>
  <c r="H216" i="10"/>
  <c r="H217" i="10"/>
  <c r="H218" i="10"/>
  <c r="H219" i="10"/>
  <c r="H220" i="10"/>
  <c r="H221" i="10"/>
  <c r="H222" i="10"/>
  <c r="H223" i="10"/>
  <c r="H224" i="10"/>
  <c r="H225" i="10"/>
  <c r="H226" i="10"/>
  <c r="H227" i="10"/>
  <c r="H228" i="10"/>
  <c r="H229" i="10"/>
  <c r="H230" i="10"/>
  <c r="H231" i="10"/>
  <c r="H232" i="10"/>
  <c r="H233" i="10"/>
  <c r="H234" i="10"/>
  <c r="H235" i="10"/>
  <c r="H236" i="10"/>
  <c r="H237" i="10"/>
  <c r="H238" i="10"/>
  <c r="H239" i="10"/>
  <c r="H240" i="10"/>
  <c r="H241" i="10"/>
  <c r="H242" i="10"/>
  <c r="H243" i="10"/>
  <c r="H244" i="10"/>
  <c r="H245" i="10"/>
  <c r="H246" i="10"/>
  <c r="H247" i="10"/>
  <c r="H248" i="10"/>
  <c r="H249" i="10"/>
  <c r="H250" i="10"/>
  <c r="H251" i="10"/>
  <c r="H252" i="10"/>
  <c r="H253" i="10"/>
  <c r="H254" i="10"/>
  <c r="H255" i="10"/>
  <c r="H256" i="10"/>
  <c r="H257" i="10"/>
  <c r="H258" i="10"/>
  <c r="H259" i="10"/>
  <c r="H260" i="10"/>
  <c r="H261" i="10"/>
  <c r="H262" i="10"/>
  <c r="H263" i="10"/>
  <c r="H264" i="10"/>
  <c r="H265" i="10"/>
  <c r="H266" i="10"/>
  <c r="H267" i="10"/>
  <c r="H268" i="10"/>
  <c r="H269" i="10"/>
  <c r="H270" i="10"/>
  <c r="H271" i="10"/>
  <c r="H272" i="10"/>
  <c r="H273" i="10"/>
  <c r="H274" i="10"/>
  <c r="H275" i="10"/>
  <c r="H276" i="10"/>
  <c r="H277" i="10"/>
  <c r="H278" i="10"/>
  <c r="H279" i="10"/>
  <c r="H280" i="10"/>
  <c r="H281" i="10"/>
  <c r="H282" i="10"/>
  <c r="H283" i="10"/>
  <c r="H284" i="10"/>
  <c r="H285" i="10"/>
  <c r="H286" i="10"/>
  <c r="H287" i="10"/>
  <c r="H288" i="10"/>
  <c r="H289" i="10"/>
  <c r="H290" i="10"/>
  <c r="H291" i="10"/>
  <c r="H292" i="10"/>
  <c r="H293" i="10"/>
  <c r="H294" i="10"/>
  <c r="H295" i="10"/>
  <c r="H296" i="10"/>
  <c r="H297" i="10"/>
  <c r="H298" i="10"/>
  <c r="H299" i="10"/>
  <c r="H300" i="10"/>
  <c r="H301" i="10"/>
  <c r="H302" i="10"/>
  <c r="H303" i="10"/>
  <c r="H304" i="10"/>
  <c r="H305" i="10"/>
  <c r="H306" i="10"/>
  <c r="H307" i="10"/>
  <c r="H308" i="10"/>
  <c r="H309" i="10"/>
  <c r="H310" i="10"/>
  <c r="H311" i="10"/>
  <c r="H312" i="10"/>
  <c r="H313" i="10"/>
  <c r="H314" i="10"/>
  <c r="H315" i="10"/>
  <c r="H316" i="10"/>
  <c r="H317" i="10"/>
  <c r="H318" i="10"/>
  <c r="H319" i="10"/>
  <c r="H320" i="10"/>
  <c r="H321" i="10"/>
  <c r="H322" i="10"/>
  <c r="H323" i="10"/>
  <c r="H324" i="10"/>
  <c r="H325" i="10"/>
  <c r="H326" i="10"/>
  <c r="H327" i="10"/>
  <c r="H328" i="10"/>
  <c r="H329" i="10"/>
  <c r="H330" i="10"/>
  <c r="H331" i="10"/>
  <c r="H332" i="10"/>
  <c r="H333" i="10"/>
  <c r="H334" i="10"/>
  <c r="H335" i="10"/>
  <c r="H336" i="10"/>
  <c r="H337" i="10"/>
  <c r="H338" i="10"/>
  <c r="H339" i="10"/>
  <c r="H340" i="10"/>
  <c r="H341" i="10"/>
  <c r="H342" i="10"/>
  <c r="H343" i="10"/>
  <c r="H344" i="10"/>
  <c r="H345" i="10"/>
  <c r="H346" i="10"/>
  <c r="H347" i="10"/>
  <c r="H348" i="10"/>
  <c r="H349" i="10"/>
  <c r="H350" i="10"/>
  <c r="H351" i="10"/>
  <c r="H352" i="10"/>
  <c r="H353" i="10"/>
  <c r="H354" i="10"/>
  <c r="H355" i="10"/>
  <c r="H356" i="10"/>
  <c r="H357" i="10"/>
  <c r="H358" i="10"/>
  <c r="H359" i="10"/>
  <c r="H360" i="10"/>
  <c r="H361" i="10"/>
  <c r="H362" i="10"/>
  <c r="H363" i="10"/>
  <c r="H364" i="10"/>
  <c r="H365" i="10"/>
  <c r="H366" i="10"/>
  <c r="H367" i="10"/>
  <c r="H368" i="10"/>
  <c r="H369" i="10"/>
  <c r="H370" i="10"/>
  <c r="H371" i="10"/>
  <c r="H372" i="10"/>
  <c r="H373" i="10"/>
  <c r="H374" i="10"/>
  <c r="H375" i="10"/>
  <c r="H376" i="10"/>
  <c r="H377" i="10"/>
  <c r="H378" i="10"/>
  <c r="H379" i="10"/>
  <c r="H380" i="10"/>
  <c r="H381" i="10"/>
  <c r="H382" i="10"/>
  <c r="H383" i="10"/>
  <c r="H384" i="10"/>
  <c r="H385" i="10"/>
  <c r="H386" i="10"/>
  <c r="H387" i="10"/>
  <c r="H388" i="10"/>
  <c r="H389" i="10"/>
  <c r="H390" i="10"/>
  <c r="H391" i="10"/>
  <c r="H392" i="10"/>
  <c r="H393" i="10"/>
  <c r="H394" i="10"/>
  <c r="H395" i="10"/>
  <c r="H396" i="10"/>
  <c r="H397" i="10"/>
  <c r="H398" i="10"/>
  <c r="H399" i="10"/>
  <c r="H400" i="10"/>
  <c r="H401" i="10"/>
  <c r="H402" i="10"/>
  <c r="H403" i="10"/>
  <c r="H404" i="10"/>
  <c r="H405" i="10"/>
  <c r="H406" i="10"/>
  <c r="H407" i="10"/>
  <c r="H408" i="10"/>
  <c r="H409" i="10"/>
  <c r="H410" i="10"/>
  <c r="H411" i="10"/>
  <c r="H412" i="10"/>
  <c r="H413" i="10"/>
  <c r="H414" i="10"/>
  <c r="H415" i="10"/>
  <c r="H416" i="10"/>
  <c r="H417" i="10"/>
  <c r="H418" i="10"/>
  <c r="H419" i="10"/>
  <c r="H420" i="10"/>
  <c r="H421" i="10"/>
  <c r="H422" i="10"/>
  <c r="H423" i="10"/>
  <c r="H424" i="10"/>
  <c r="H425" i="10"/>
  <c r="H426" i="10"/>
  <c r="H427" i="10"/>
  <c r="H428" i="10"/>
  <c r="H429" i="10"/>
  <c r="H430" i="10"/>
  <c r="H431" i="10"/>
  <c r="H432" i="10"/>
  <c r="H433" i="10"/>
  <c r="H434" i="10"/>
  <c r="H435" i="10"/>
  <c r="H436" i="10"/>
  <c r="A1" i="5" l="1"/>
  <c r="A2" i="4" s="1"/>
  <c r="A1" i="41"/>
  <c r="A1" i="3"/>
  <c r="D13" i="63"/>
  <c r="F40" i="19"/>
  <c r="B2" i="24" l="1"/>
  <c r="F33" i="68"/>
  <c r="F32" i="68"/>
  <c r="F31" i="68"/>
  <c r="F30" i="68"/>
  <c r="F29" i="68"/>
  <c r="F25" i="68"/>
  <c r="F24" i="68"/>
  <c r="F23" i="68"/>
  <c r="F22" i="68"/>
  <c r="F21" i="68"/>
  <c r="F20" i="68"/>
  <c r="F19" i="68"/>
  <c r="F15" i="68"/>
  <c r="F14" i="68"/>
  <c r="F13" i="68"/>
  <c r="F12" i="68"/>
  <c r="F11" i="68"/>
  <c r="F10" i="68"/>
  <c r="F9" i="68"/>
  <c r="F8" i="68"/>
  <c r="F7" i="68"/>
  <c r="G28" i="68" l="1"/>
  <c r="G18" i="68"/>
  <c r="G6" i="68"/>
  <c r="G36" i="68" l="1"/>
  <c r="G37" i="68"/>
  <c r="P33" i="5"/>
  <c r="F63" i="66"/>
  <c r="F62" i="66"/>
  <c r="F61" i="66"/>
  <c r="F59" i="66"/>
  <c r="F58" i="66"/>
  <c r="F57" i="66"/>
  <c r="F56" i="66"/>
  <c r="F55" i="66"/>
  <c r="F54" i="66"/>
  <c r="F53" i="66"/>
  <c r="F50" i="66"/>
  <c r="F49" i="66"/>
  <c r="F48" i="66"/>
  <c r="F47" i="66"/>
  <c r="F45" i="66"/>
  <c r="F44" i="66"/>
  <c r="D43" i="66"/>
  <c r="F43" i="66" s="1"/>
  <c r="F41" i="66"/>
  <c r="D40" i="66"/>
  <c r="F40" i="66" s="1"/>
  <c r="D39" i="66"/>
  <c r="F39" i="66" s="1"/>
  <c r="F37" i="66"/>
  <c r="F36" i="66"/>
  <c r="D35" i="66"/>
  <c r="F35" i="66" s="1"/>
  <c r="F32" i="66"/>
  <c r="F31" i="66"/>
  <c r="F30" i="66"/>
  <c r="F29" i="66"/>
  <c r="F27" i="66"/>
  <c r="F26" i="66"/>
  <c r="F25" i="66"/>
  <c r="F24" i="66"/>
  <c r="F22" i="66"/>
  <c r="F21" i="66"/>
  <c r="G20" i="66" s="1"/>
  <c r="F19" i="66"/>
  <c r="F18" i="66"/>
  <c r="G17" i="66" s="1"/>
  <c r="F16" i="66"/>
  <c r="F15" i="66"/>
  <c r="F14" i="66"/>
  <c r="F13" i="66"/>
  <c r="F12" i="66"/>
  <c r="F10" i="66"/>
  <c r="F9" i="66"/>
  <c r="F8" i="66"/>
  <c r="F7" i="66"/>
  <c r="G7" i="66" l="1"/>
  <c r="G51" i="66"/>
  <c r="G46" i="66"/>
  <c r="G23" i="66"/>
  <c r="G28" i="66"/>
  <c r="G11" i="66"/>
  <c r="G33" i="66"/>
  <c r="G64" i="66" l="1"/>
  <c r="P32" i="5" s="1"/>
  <c r="G65" i="66" l="1"/>
  <c r="D145" i="3"/>
  <c r="D143" i="3"/>
  <c r="D138" i="3"/>
  <c r="D130" i="3"/>
  <c r="D128" i="3"/>
  <c r="D127" i="3"/>
  <c r="D125" i="3"/>
  <c r="D123" i="3"/>
  <c r="D118" i="3"/>
  <c r="D116" i="3"/>
  <c r="D114" i="3"/>
  <c r="D113" i="3"/>
  <c r="D106" i="3"/>
  <c r="D99" i="3"/>
  <c r="E94" i="3"/>
  <c r="D94" i="3"/>
  <c r="D90" i="3"/>
  <c r="D85" i="3"/>
  <c r="E78" i="3"/>
  <c r="D78" i="3"/>
  <c r="D76" i="3"/>
  <c r="D69" i="3"/>
  <c r="D67" i="3"/>
  <c r="D64" i="3"/>
  <c r="D61" i="3"/>
  <c r="D60" i="3"/>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43" i="32"/>
  <c r="E44" i="32"/>
  <c r="E45" i="32"/>
  <c r="E46" i="32"/>
  <c r="E47" i="32"/>
  <c r="E48" i="32"/>
  <c r="E49" i="32"/>
  <c r="E50" i="32"/>
  <c r="E51" i="32"/>
  <c r="E52" i="32"/>
  <c r="E53" i="32"/>
  <c r="E54" i="32"/>
  <c r="E55" i="32"/>
  <c r="E56" i="32"/>
  <c r="E57" i="32"/>
  <c r="E58" i="32"/>
  <c r="E59" i="32"/>
  <c r="E60" i="32"/>
  <c r="E61" i="32"/>
  <c r="E62" i="32"/>
  <c r="D14" i="63" l="1"/>
  <c r="F44" i="63"/>
  <c r="B44" i="63"/>
  <c r="F43" i="63"/>
  <c r="B43" i="63"/>
  <c r="B36" i="63"/>
  <c r="C29" i="63"/>
  <c r="B29" i="63"/>
  <c r="E24" i="63"/>
  <c r="C24" i="63"/>
  <c r="B24" i="63"/>
  <c r="E23" i="63"/>
  <c r="C23" i="63"/>
  <c r="B23" i="63"/>
  <c r="C22" i="63"/>
  <c r="B22" i="63"/>
  <c r="E21" i="63"/>
  <c r="C21" i="63"/>
  <c r="B21" i="63"/>
  <c r="E20" i="63"/>
  <c r="C20" i="63"/>
  <c r="B20" i="63"/>
  <c r="E19" i="63"/>
  <c r="C19" i="63"/>
  <c r="B19" i="63"/>
  <c r="E18" i="63"/>
  <c r="C18" i="63"/>
  <c r="B18" i="63"/>
  <c r="E17" i="63"/>
  <c r="C17" i="63"/>
  <c r="B17" i="63"/>
  <c r="E16" i="63"/>
  <c r="C16" i="63"/>
  <c r="B16" i="63"/>
  <c r="E15" i="63"/>
  <c r="C15" i="63"/>
  <c r="B15" i="63"/>
  <c r="C14" i="63"/>
  <c r="B14" i="63"/>
  <c r="E13" i="63"/>
  <c r="C13" i="63"/>
  <c r="B13" i="63"/>
  <c r="E12" i="63"/>
  <c r="C12" i="63"/>
  <c r="B12" i="63"/>
  <c r="E11" i="63"/>
  <c r="C11" i="63"/>
  <c r="B11" i="63"/>
  <c r="E10" i="63"/>
  <c r="C10" i="63"/>
  <c r="B10" i="63"/>
  <c r="E9" i="63"/>
  <c r="C9" i="63"/>
  <c r="B9" i="63"/>
  <c r="E8" i="63"/>
  <c r="C8" i="63"/>
  <c r="B8" i="63"/>
  <c r="G4" i="63"/>
  <c r="B4" i="63"/>
  <c r="C3" i="63"/>
  <c r="B1" i="63"/>
  <c r="E14" i="63" l="1"/>
  <c r="G4" i="62"/>
  <c r="B4" i="62"/>
  <c r="C3" i="62"/>
  <c r="B33" i="62"/>
  <c r="B32" i="62"/>
  <c r="B25" i="62"/>
  <c r="F18" i="62"/>
  <c r="F33" i="62" s="1"/>
  <c r="C18" i="62"/>
  <c r="B18" i="62"/>
  <c r="E13" i="62"/>
  <c r="C13" i="62"/>
  <c r="B13" i="62"/>
  <c r="D12" i="62"/>
  <c r="E12" i="62" s="1"/>
  <c r="C12" i="62"/>
  <c r="B12" i="62"/>
  <c r="E11" i="62"/>
  <c r="C11" i="62"/>
  <c r="B11" i="62"/>
  <c r="E10" i="62"/>
  <c r="C10" i="62"/>
  <c r="B10" i="62"/>
  <c r="E9" i="62"/>
  <c r="C9" i="62"/>
  <c r="B9" i="62"/>
  <c r="E8" i="62"/>
  <c r="C8" i="62"/>
  <c r="B8" i="62"/>
  <c r="B1" i="62"/>
  <c r="G4" i="61"/>
  <c r="B4" i="61"/>
  <c r="C3" i="61"/>
  <c r="B30" i="61"/>
  <c r="B29" i="61"/>
  <c r="B22" i="61"/>
  <c r="F15" i="61"/>
  <c r="F29" i="61" s="1"/>
  <c r="C15" i="61"/>
  <c r="B15" i="61"/>
  <c r="E9" i="61"/>
  <c r="C9" i="61"/>
  <c r="B9" i="61"/>
  <c r="E8" i="61"/>
  <c r="C8" i="61"/>
  <c r="B8" i="61"/>
  <c r="B1" i="61"/>
  <c r="B9" i="16"/>
  <c r="C9" i="16"/>
  <c r="E9" i="16"/>
  <c r="C10" i="15"/>
  <c r="E10" i="15"/>
  <c r="B10" i="15"/>
  <c r="B9" i="14"/>
  <c r="C9" i="14"/>
  <c r="E9" i="14"/>
  <c r="B4" i="60"/>
  <c r="G4" i="60"/>
  <c r="C3" i="60"/>
  <c r="B24" i="60"/>
  <c r="D24" i="60"/>
  <c r="B26" i="60"/>
  <c r="C24" i="60"/>
  <c r="E24" i="60"/>
  <c r="D22" i="60"/>
  <c r="D23" i="60"/>
  <c r="H451" i="10"/>
  <c r="H450" i="10"/>
  <c r="H449" i="10"/>
  <c r="H448" i="10"/>
  <c r="H447" i="10"/>
  <c r="H446" i="10"/>
  <c r="H445" i="10"/>
  <c r="H444" i="10"/>
  <c r="H442" i="10"/>
  <c r="E418" i="10"/>
  <c r="E399" i="10"/>
  <c r="E398" i="10"/>
  <c r="F8" i="61"/>
  <c r="F24" i="63"/>
  <c r="G24" i="63" s="1"/>
  <c r="F23" i="63"/>
  <c r="G23" i="63" s="1"/>
  <c r="F22" i="63"/>
  <c r="G22" i="63" s="1"/>
  <c r="E375" i="10"/>
  <c r="E22" i="63" s="1"/>
  <c r="E331" i="10"/>
  <c r="F13" i="62"/>
  <c r="G13" i="62" s="1"/>
  <c r="F10" i="15"/>
  <c r="G10" i="15" s="1"/>
  <c r="F24" i="60"/>
  <c r="E208" i="10"/>
  <c r="E138" i="10"/>
  <c r="F21" i="63"/>
  <c r="G21" i="63" s="1"/>
  <c r="E136" i="10"/>
  <c r="F16" i="63"/>
  <c r="G16" i="63" s="1"/>
  <c r="F15" i="63"/>
  <c r="G15" i="63" s="1"/>
  <c r="F13" i="63"/>
  <c r="G13" i="63" s="1"/>
  <c r="F12" i="63"/>
  <c r="G12" i="63" s="1"/>
  <c r="F11" i="63"/>
  <c r="G11" i="63" s="1"/>
  <c r="F10" i="63"/>
  <c r="G10" i="63" s="1"/>
  <c r="F9" i="63"/>
  <c r="G9" i="63" s="1"/>
  <c r="F8" i="63"/>
  <c r="G8" i="63" s="1"/>
  <c r="E110" i="10"/>
  <c r="E88" i="10"/>
  <c r="E87" i="10"/>
  <c r="F17" i="63"/>
  <c r="G17" i="63" s="1"/>
  <c r="F9" i="62"/>
  <c r="G9" i="62" s="1"/>
  <c r="F11" i="62"/>
  <c r="G11" i="62" s="1"/>
  <c r="F8" i="62"/>
  <c r="G8" i="62" s="1"/>
  <c r="F18" i="63"/>
  <c r="G18" i="63" s="1"/>
  <c r="F20" i="63"/>
  <c r="G20" i="63" s="1"/>
  <c r="E49" i="10"/>
  <c r="E48" i="10"/>
  <c r="E43" i="10"/>
  <c r="F9" i="61"/>
  <c r="G9" i="61" s="1"/>
  <c r="H6" i="10"/>
  <c r="H5" i="10"/>
  <c r="F32" i="62" l="1"/>
  <c r="F14" i="63"/>
  <c r="G14" i="63" s="1"/>
  <c r="D36" i="63"/>
  <c r="G8" i="61"/>
  <c r="G11" i="61" s="1"/>
  <c r="E14" i="5" s="1"/>
  <c r="E7" i="34"/>
  <c r="F19" i="63"/>
  <c r="G19" i="63" s="1"/>
  <c r="D22" i="61"/>
  <c r="F12" i="62"/>
  <c r="G12" i="62" s="1"/>
  <c r="F10" i="62"/>
  <c r="G10" i="62" s="1"/>
  <c r="D25" i="62"/>
  <c r="F9" i="14"/>
  <c r="G9" i="14" s="1"/>
  <c r="F9" i="16"/>
  <c r="G9" i="16" s="1"/>
  <c r="F30" i="61"/>
  <c r="G24" i="60"/>
  <c r="G25" i="63" l="1"/>
  <c r="E24" i="5" s="1"/>
  <c r="G14" i="62"/>
  <c r="E16" i="5" s="1"/>
  <c r="B20" i="60" l="1"/>
  <c r="C20" i="60"/>
  <c r="E20" i="60"/>
  <c r="B24" i="17"/>
  <c r="B46" i="60"/>
  <c r="B45" i="60"/>
  <c r="B38" i="60"/>
  <c r="F31" i="60"/>
  <c r="F45" i="60" s="1"/>
  <c r="C31" i="60"/>
  <c r="B31" i="60"/>
  <c r="D26" i="60"/>
  <c r="C26" i="60"/>
  <c r="D25" i="60"/>
  <c r="E25" i="60" s="1"/>
  <c r="C25" i="60"/>
  <c r="B25" i="60"/>
  <c r="E23" i="60"/>
  <c r="C23" i="60"/>
  <c r="B23" i="60"/>
  <c r="C22" i="60"/>
  <c r="B22" i="60"/>
  <c r="E21" i="60"/>
  <c r="C21" i="60"/>
  <c r="B21" i="60"/>
  <c r="E19" i="60"/>
  <c r="C19" i="60"/>
  <c r="B19" i="60"/>
  <c r="E18" i="60"/>
  <c r="C18" i="60"/>
  <c r="B18" i="60"/>
  <c r="E17" i="60"/>
  <c r="C17" i="60"/>
  <c r="B17" i="60"/>
  <c r="E16" i="60"/>
  <c r="C16" i="60"/>
  <c r="B16" i="60"/>
  <c r="E15" i="60"/>
  <c r="C15" i="60"/>
  <c r="B15" i="60"/>
  <c r="E14" i="60"/>
  <c r="C14" i="60"/>
  <c r="B14" i="60"/>
  <c r="E13" i="60"/>
  <c r="C13" i="60"/>
  <c r="B13" i="60"/>
  <c r="E12" i="60"/>
  <c r="C12" i="60"/>
  <c r="B12" i="60"/>
  <c r="E11" i="60"/>
  <c r="C11" i="60"/>
  <c r="B11" i="60"/>
  <c r="E10" i="60"/>
  <c r="C10" i="60"/>
  <c r="B10" i="60"/>
  <c r="E9" i="60"/>
  <c r="C9" i="60"/>
  <c r="B9" i="60"/>
  <c r="E8" i="60"/>
  <c r="C8" i="60"/>
  <c r="B8" i="60"/>
  <c r="B1" i="60"/>
  <c r="D24" i="17"/>
  <c r="D23" i="17"/>
  <c r="E23" i="17" s="1"/>
  <c r="B23" i="17"/>
  <c r="C23" i="17"/>
  <c r="E26" i="60" l="1"/>
  <c r="F46" i="60"/>
  <c r="D16" i="39" l="1"/>
  <c r="D16" i="59"/>
  <c r="E16" i="59" s="1"/>
  <c r="G4" i="59"/>
  <c r="B4" i="59"/>
  <c r="C3" i="59"/>
  <c r="D8" i="5"/>
  <c r="D7" i="5"/>
  <c r="B37" i="59"/>
  <c r="B36" i="59"/>
  <c r="B29" i="59"/>
  <c r="C22" i="59"/>
  <c r="B22" i="59"/>
  <c r="D17" i="59"/>
  <c r="E17" i="59" s="1"/>
  <c r="C17" i="59"/>
  <c r="B17" i="59"/>
  <c r="C16" i="59"/>
  <c r="B16" i="59"/>
  <c r="E15" i="59"/>
  <c r="C15" i="59"/>
  <c r="B15" i="59"/>
  <c r="E14" i="59"/>
  <c r="C14" i="59"/>
  <c r="B14" i="59"/>
  <c r="E13" i="59"/>
  <c r="C13" i="59"/>
  <c r="B13" i="59"/>
  <c r="E12" i="59"/>
  <c r="C12" i="59"/>
  <c r="B12" i="59"/>
  <c r="C11" i="59"/>
  <c r="B11" i="59"/>
  <c r="E10" i="59"/>
  <c r="C10" i="59"/>
  <c r="B10" i="59"/>
  <c r="C9" i="59"/>
  <c r="B9" i="59"/>
  <c r="E8" i="59"/>
  <c r="C8" i="59"/>
  <c r="B8" i="59"/>
  <c r="B1" i="59"/>
  <c r="B16" i="39"/>
  <c r="C7" i="34" l="1"/>
  <c r="D7" i="34" s="1"/>
  <c r="F7" i="34" s="1"/>
  <c r="D24" i="5"/>
  <c r="D15" i="5"/>
  <c r="C6" i="34"/>
  <c r="D23" i="5"/>
  <c r="D14" i="5"/>
  <c r="D16" i="5"/>
  <c r="D9" i="5"/>
  <c r="D13" i="5"/>
  <c r="D10" i="5"/>
  <c r="K14" i="5" l="1"/>
  <c r="K24" i="5"/>
  <c r="K16" i="5"/>
  <c r="C55" i="3" l="1"/>
  <c r="E76" i="32"/>
  <c r="E77" i="32"/>
  <c r="E78" i="32"/>
  <c r="E79" i="32"/>
  <c r="E80" i="32"/>
  <c r="E81" i="32"/>
  <c r="E82" i="32"/>
  <c r="E83" i="32"/>
  <c r="E84" i="32"/>
  <c r="E85" i="32"/>
  <c r="E86" i="32"/>
  <c r="E87" i="32"/>
  <c r="E88" i="32"/>
  <c r="E89" i="32"/>
  <c r="C95" i="32"/>
  <c r="D6" i="32"/>
  <c r="D21" i="19" l="1"/>
  <c r="D20" i="19"/>
  <c r="D14" i="19"/>
  <c r="D16" i="19"/>
  <c r="D12" i="19"/>
  <c r="D11" i="19"/>
  <c r="D13" i="19"/>
  <c r="C47" i="41" l="1"/>
  <c r="F47" i="41" s="1"/>
  <c r="B46" i="43" l="1"/>
  <c r="B48" i="43"/>
  <c r="B80" i="43"/>
  <c r="B79" i="43"/>
  <c r="B78" i="43"/>
  <c r="B74" i="43"/>
  <c r="B73" i="43"/>
  <c r="B71" i="43"/>
  <c r="B70" i="43"/>
  <c r="B68" i="43"/>
  <c r="B67" i="43"/>
  <c r="B65" i="43"/>
  <c r="B63" i="43"/>
  <c r="B62" i="43"/>
  <c r="F41" i="19"/>
  <c r="C48" i="3" l="1"/>
  <c r="D146" i="3"/>
  <c r="C146" i="3"/>
  <c r="E148" i="3" l="1"/>
  <c r="C49" i="3" s="1"/>
  <c r="E149" i="3"/>
  <c r="E147" i="3"/>
  <c r="B17" i="19"/>
  <c r="C17" i="19"/>
  <c r="B15" i="19"/>
  <c r="C15" i="19"/>
  <c r="F17" i="19"/>
  <c r="F15" i="19"/>
  <c r="C56" i="3" l="1"/>
  <c r="E64" i="32"/>
  <c r="E65" i="32"/>
  <c r="E66" i="32"/>
  <c r="E67" i="32"/>
  <c r="E68" i="32"/>
  <c r="E69" i="32"/>
  <c r="E70" i="32"/>
  <c r="E71" i="32"/>
  <c r="E72" i="32"/>
  <c r="E73" i="32"/>
  <c r="E74" i="32"/>
  <c r="E75" i="32"/>
  <c r="E90" i="32"/>
  <c r="E91" i="32"/>
  <c r="E92" i="32"/>
  <c r="E93" i="32"/>
  <c r="E94" i="32"/>
  <c r="E10" i="32" l="1"/>
  <c r="E11" i="32"/>
  <c r="E63" i="32"/>
  <c r="E9" i="32"/>
  <c r="H95" i="32" l="1"/>
  <c r="G95" i="32"/>
  <c r="F95" i="32"/>
  <c r="D15" i="19"/>
  <c r="D17" i="19"/>
  <c r="D19" i="19"/>
  <c r="D18" i="19"/>
  <c r="E95" i="32"/>
  <c r="E15" i="19" l="1"/>
  <c r="G15" i="19"/>
  <c r="E17" i="19"/>
  <c r="G17" i="19"/>
  <c r="D22" i="17"/>
  <c r="D12" i="18"/>
  <c r="D21" i="17" l="1"/>
  <c r="F22" i="39"/>
  <c r="C16" i="39"/>
  <c r="D17" i="39"/>
  <c r="D12" i="7"/>
  <c r="E16" i="39" l="1"/>
  <c r="E33" i="41" l="1"/>
  <c r="D33" i="41"/>
  <c r="H19" i="5"/>
  <c r="B30" i="20"/>
  <c r="D34" i="41" l="1"/>
  <c r="D14" i="21"/>
  <c r="G4" i="43"/>
  <c r="B4" i="43"/>
  <c r="C3" i="43"/>
  <c r="B47" i="43"/>
  <c r="B40" i="43"/>
  <c r="B39" i="43"/>
  <c r="F32" i="43"/>
  <c r="C32" i="43"/>
  <c r="B32" i="43"/>
  <c r="E27" i="43"/>
  <c r="C27" i="43"/>
  <c r="B27" i="43"/>
  <c r="E26" i="43"/>
  <c r="C26" i="43"/>
  <c r="B26" i="43"/>
  <c r="E25" i="43"/>
  <c r="C25" i="43"/>
  <c r="B25" i="43"/>
  <c r="D24" i="43"/>
  <c r="E24" i="43" s="1"/>
  <c r="C24" i="43"/>
  <c r="B24" i="43"/>
  <c r="D23" i="43"/>
  <c r="C23" i="43"/>
  <c r="B23" i="43"/>
  <c r="D22" i="43"/>
  <c r="E22" i="43" s="1"/>
  <c r="C22" i="43"/>
  <c r="B22" i="43"/>
  <c r="C21" i="43"/>
  <c r="B21" i="43"/>
  <c r="C20" i="43"/>
  <c r="B20" i="43"/>
  <c r="C19" i="43"/>
  <c r="B19" i="43"/>
  <c r="C18" i="43"/>
  <c r="B18" i="43"/>
  <c r="C15" i="43"/>
  <c r="B15" i="43"/>
  <c r="C12" i="43"/>
  <c r="B12" i="43"/>
  <c r="C11" i="43"/>
  <c r="B11" i="43"/>
  <c r="C10" i="43"/>
  <c r="B10" i="43"/>
  <c r="C9" i="43"/>
  <c r="B9" i="43"/>
  <c r="B1" i="43"/>
  <c r="C51" i="41"/>
  <c r="F51" i="41" s="1"/>
  <c r="C50" i="41"/>
  <c r="F50" i="41" s="1"/>
  <c r="C49" i="41"/>
  <c r="F49" i="41" s="1"/>
  <c r="D48" i="41"/>
  <c r="C48" i="41"/>
  <c r="D21" i="43"/>
  <c r="F46" i="41"/>
  <c r="D20" i="43" s="1"/>
  <c r="E20" i="43" s="1"/>
  <c r="F45" i="41"/>
  <c r="D19" i="43" s="1"/>
  <c r="F44" i="41"/>
  <c r="D18" i="43" s="1"/>
  <c r="E18" i="43" s="1"/>
  <c r="D22" i="41"/>
  <c r="E22" i="41" s="1"/>
  <c r="D21" i="41"/>
  <c r="E21" i="41" s="1"/>
  <c r="D12" i="41"/>
  <c r="E12" i="41" s="1"/>
  <c r="D9" i="41"/>
  <c r="E9" i="41" s="1"/>
  <c r="F65" i="43" s="1"/>
  <c r="E21" i="43" l="1"/>
  <c r="F18" i="43"/>
  <c r="G18" i="43" s="1"/>
  <c r="F20" i="43"/>
  <c r="G20" i="43" s="1"/>
  <c r="C17" i="41"/>
  <c r="C16" i="41"/>
  <c r="C15" i="41"/>
  <c r="C14" i="41"/>
  <c r="F25" i="43"/>
  <c r="G25" i="43" s="1"/>
  <c r="F23" i="43"/>
  <c r="G23" i="43" s="1"/>
  <c r="F22" i="43"/>
  <c r="G22" i="43" s="1"/>
  <c r="F24" i="43"/>
  <c r="G24" i="43" s="1"/>
  <c r="F26" i="43"/>
  <c r="G26" i="43" s="1"/>
  <c r="F27" i="43"/>
  <c r="G27" i="43" s="1"/>
  <c r="F19" i="43"/>
  <c r="G19" i="43" s="1"/>
  <c r="E19" i="43"/>
  <c r="E23" i="43"/>
  <c r="G33" i="41"/>
  <c r="E23" i="41"/>
  <c r="F62" i="43" s="1"/>
  <c r="F48" i="41"/>
  <c r="F52" i="41" s="1"/>
  <c r="F70" i="43" s="1"/>
  <c r="F21" i="43" l="1"/>
  <c r="G21" i="43" s="1"/>
  <c r="F71" i="43"/>
  <c r="D15" i="43"/>
  <c r="E15" i="43" s="1"/>
  <c r="E16" i="43" s="1"/>
  <c r="F67" i="43"/>
  <c r="F63" i="43"/>
  <c r="C28" i="41"/>
  <c r="C40" i="41" s="1"/>
  <c r="D11" i="43" s="1"/>
  <c r="E11" i="43" s="1"/>
  <c r="C27" i="41"/>
  <c r="C39" i="41" s="1"/>
  <c r="D10" i="43" s="1"/>
  <c r="E10" i="43" s="1"/>
  <c r="C25" i="41"/>
  <c r="C37" i="41" s="1"/>
  <c r="D12" i="43" s="1"/>
  <c r="E12" i="43" s="1"/>
  <c r="C26" i="41"/>
  <c r="C38" i="41" s="1"/>
  <c r="D9" i="43" s="1"/>
  <c r="E9" i="43" s="1"/>
  <c r="D39" i="43" l="1"/>
  <c r="F68" i="43"/>
  <c r="E13" i="43"/>
  <c r="D40" i="43" s="1"/>
  <c r="E9" i="17"/>
  <c r="E10" i="17"/>
  <c r="E11" i="17"/>
  <c r="E12" i="17"/>
  <c r="E13" i="17"/>
  <c r="E14" i="17"/>
  <c r="E15" i="17"/>
  <c r="E16" i="17"/>
  <c r="E17" i="17"/>
  <c r="E18" i="17"/>
  <c r="E19" i="17"/>
  <c r="E20" i="17"/>
  <c r="B14" i="39"/>
  <c r="C14" i="39"/>
  <c r="E14" i="39"/>
  <c r="G4" i="39"/>
  <c r="B4" i="39"/>
  <c r="C3" i="39"/>
  <c r="B15" i="39"/>
  <c r="C15" i="39"/>
  <c r="E15" i="39"/>
  <c r="F14" i="39" l="1"/>
  <c r="G14" i="39" s="1"/>
  <c r="F14" i="59"/>
  <c r="G14" i="59" s="1"/>
  <c r="E12" i="39"/>
  <c r="E13" i="39"/>
  <c r="B12" i="39"/>
  <c r="C12" i="39"/>
  <c r="B13" i="39"/>
  <c r="C13" i="39"/>
  <c r="B37" i="39" l="1"/>
  <c r="F36" i="39"/>
  <c r="B36" i="39"/>
  <c r="B29" i="39"/>
  <c r="C22" i="39"/>
  <c r="B22" i="39"/>
  <c r="E17" i="39"/>
  <c r="C17" i="39"/>
  <c r="B17" i="39"/>
  <c r="C11" i="39"/>
  <c r="B11" i="39"/>
  <c r="E10" i="39"/>
  <c r="C10" i="39"/>
  <c r="B10" i="39"/>
  <c r="C9" i="39"/>
  <c r="B9" i="39"/>
  <c r="E8" i="39"/>
  <c r="C8" i="39"/>
  <c r="B8" i="39"/>
  <c r="B1" i="39"/>
  <c r="D18" i="6"/>
  <c r="B18" i="6"/>
  <c r="B17" i="6"/>
  <c r="F37" i="39" l="1"/>
  <c r="F40" i="43" l="1"/>
  <c r="G40" i="43" s="1"/>
  <c r="D40" i="3"/>
  <c r="E40" i="3" l="1"/>
  <c r="E42" i="3" s="1"/>
  <c r="P35" i="5"/>
  <c r="D5" i="5"/>
  <c r="D18" i="5" l="1"/>
  <c r="D12" i="5"/>
  <c r="D6" i="5"/>
  <c r="C3" i="34" l="1"/>
  <c r="D3" i="34" s="1"/>
  <c r="C4" i="34"/>
  <c r="D4" i="34" s="1"/>
  <c r="C5" i="34"/>
  <c r="D5" i="34" s="1"/>
  <c r="D6" i="34"/>
  <c r="F29" i="39" l="1"/>
  <c r="F39" i="43"/>
  <c r="G39" i="43" s="1"/>
  <c r="G42" i="43" s="1"/>
  <c r="G18" i="5" s="1"/>
  <c r="F36" i="63"/>
  <c r="G36" i="63" s="1"/>
  <c r="G39" i="63" s="1"/>
  <c r="F22" i="61"/>
  <c r="G22" i="61" s="1"/>
  <c r="G25" i="61" s="1"/>
  <c r="F25" i="62"/>
  <c r="G25" i="62" s="1"/>
  <c r="G28" i="62" s="1"/>
  <c r="F38" i="60"/>
  <c r="F29" i="59"/>
  <c r="M18" i="5" l="1"/>
  <c r="G16" i="5"/>
  <c r="G14" i="5"/>
  <c r="G24" i="5"/>
  <c r="M45" i="24"/>
  <c r="N45" i="24" s="1"/>
  <c r="O45" i="24" s="1"/>
  <c r="P45" i="24" s="1"/>
  <c r="Q45" i="24" s="1"/>
  <c r="R45" i="24" s="1"/>
  <c r="S45" i="24" s="1"/>
  <c r="T45" i="24" s="1"/>
  <c r="U45" i="24" s="1"/>
  <c r="V45" i="24" s="1"/>
  <c r="W45" i="24" s="1"/>
  <c r="X45" i="24" s="1"/>
  <c r="B45" i="24" s="1"/>
  <c r="J14" i="24" s="1"/>
  <c r="O14" i="24" s="1"/>
  <c r="F45" i="24"/>
  <c r="S44" i="24"/>
  <c r="T44" i="24" s="1"/>
  <c r="U44" i="24" s="1"/>
  <c r="V44" i="24" s="1"/>
  <c r="W44" i="24" s="1"/>
  <c r="X44" i="24" s="1"/>
  <c r="B44" i="24" s="1"/>
  <c r="J15" i="24" s="1"/>
  <c r="O15" i="24" s="1"/>
  <c r="M43" i="24"/>
  <c r="N43" i="24" s="1"/>
  <c r="O43" i="24" s="1"/>
  <c r="P43" i="24" s="1"/>
  <c r="Q43" i="24" s="1"/>
  <c r="R43" i="24" s="1"/>
  <c r="S43" i="24" s="1"/>
  <c r="T43" i="24" s="1"/>
  <c r="U43" i="24" s="1"/>
  <c r="V43" i="24" s="1"/>
  <c r="W43" i="24" s="1"/>
  <c r="X43" i="24" s="1"/>
  <c r="B43" i="24" s="1"/>
  <c r="F43" i="24"/>
  <c r="M42" i="24"/>
  <c r="N42" i="24" s="1"/>
  <c r="O42" i="24" s="1"/>
  <c r="P42" i="24" s="1"/>
  <c r="Q42" i="24" s="1"/>
  <c r="R42" i="24" s="1"/>
  <c r="S42" i="24" s="1"/>
  <c r="T42" i="24" s="1"/>
  <c r="U42" i="24" s="1"/>
  <c r="V42" i="24" s="1"/>
  <c r="W42" i="24" s="1"/>
  <c r="X42" i="24" s="1"/>
  <c r="B42" i="24" s="1"/>
  <c r="J18" i="24" s="1"/>
  <c r="O18" i="24" s="1"/>
  <c r="F42" i="24"/>
  <c r="M41" i="24"/>
  <c r="N41" i="24" s="1"/>
  <c r="O41" i="24" s="1"/>
  <c r="P41" i="24" s="1"/>
  <c r="Q41" i="24" s="1"/>
  <c r="R41" i="24" s="1"/>
  <c r="S41" i="24" s="1"/>
  <c r="T41" i="24" s="1"/>
  <c r="U41" i="24" s="1"/>
  <c r="V41" i="24" s="1"/>
  <c r="W41" i="24" s="1"/>
  <c r="X41" i="24" s="1"/>
  <c r="B41" i="24" s="1"/>
  <c r="F41" i="24"/>
  <c r="M40" i="24"/>
  <c r="N40" i="24" s="1"/>
  <c r="O40" i="24" s="1"/>
  <c r="P40" i="24" s="1"/>
  <c r="Q40" i="24" s="1"/>
  <c r="R40" i="24" s="1"/>
  <c r="S40" i="24" s="1"/>
  <c r="T40" i="24" s="1"/>
  <c r="U40" i="24" s="1"/>
  <c r="V40" i="24" s="1"/>
  <c r="W40" i="24" s="1"/>
  <c r="X40" i="24" s="1"/>
  <c r="B40" i="24" s="1"/>
  <c r="F40" i="24"/>
  <c r="Q39" i="24"/>
  <c r="R39" i="24" s="1"/>
  <c r="S39" i="24" s="1"/>
  <c r="T39" i="24" s="1"/>
  <c r="U39" i="24" s="1"/>
  <c r="V39" i="24" s="1"/>
  <c r="W39" i="24" s="1"/>
  <c r="X39" i="24" s="1"/>
  <c r="B39" i="24" s="1"/>
  <c r="J9" i="24" s="1"/>
  <c r="O9" i="24" s="1"/>
  <c r="M39" i="24"/>
  <c r="N39" i="24" s="1"/>
  <c r="O39" i="24" s="1"/>
  <c r="P39" i="24" s="1"/>
  <c r="F39" i="24"/>
  <c r="R38" i="24"/>
  <c r="S38" i="24" s="1"/>
  <c r="T38" i="24" s="1"/>
  <c r="U38" i="24" s="1"/>
  <c r="V38" i="24" s="1"/>
  <c r="W38" i="24" s="1"/>
  <c r="X38" i="24" s="1"/>
  <c r="B38" i="24" s="1"/>
  <c r="J10" i="24" s="1"/>
  <c r="O10" i="24" s="1"/>
  <c r="M37" i="24"/>
  <c r="N37" i="24" s="1"/>
  <c r="O37" i="24" s="1"/>
  <c r="P37" i="24" s="1"/>
  <c r="Q37" i="24" s="1"/>
  <c r="R37" i="24" s="1"/>
  <c r="S37" i="24" s="1"/>
  <c r="T37" i="24" s="1"/>
  <c r="U37" i="24" s="1"/>
  <c r="V37" i="24" s="1"/>
  <c r="W37" i="24" s="1"/>
  <c r="X37" i="24" s="1"/>
  <c r="B37" i="24" s="1"/>
  <c r="F37" i="24"/>
  <c r="M36" i="24"/>
  <c r="N36" i="24" s="1"/>
  <c r="O36" i="24" s="1"/>
  <c r="P36" i="24" s="1"/>
  <c r="Q36" i="24" s="1"/>
  <c r="R36" i="24" s="1"/>
  <c r="S36" i="24" s="1"/>
  <c r="T36" i="24" s="1"/>
  <c r="U36" i="24" s="1"/>
  <c r="V36" i="24" s="1"/>
  <c r="W36" i="24" s="1"/>
  <c r="X36" i="24" s="1"/>
  <c r="B36" i="24" s="1"/>
  <c r="F36" i="24"/>
  <c r="M35" i="24"/>
  <c r="N35" i="24" s="1"/>
  <c r="O35" i="24" s="1"/>
  <c r="P35" i="24" s="1"/>
  <c r="Q35" i="24" s="1"/>
  <c r="R35" i="24" s="1"/>
  <c r="S35" i="24" s="1"/>
  <c r="T35" i="24" s="1"/>
  <c r="U35" i="24" s="1"/>
  <c r="V35" i="24" s="1"/>
  <c r="W35" i="24" s="1"/>
  <c r="X35" i="24" s="1"/>
  <c r="B35" i="24" s="1"/>
  <c r="J6" i="24" s="1"/>
  <c r="O6" i="24" s="1"/>
  <c r="F35" i="24"/>
  <c r="M34" i="24"/>
  <c r="N34" i="24" s="1"/>
  <c r="O34" i="24" s="1"/>
  <c r="P34" i="24" s="1"/>
  <c r="Q34" i="24" s="1"/>
  <c r="R34" i="24" s="1"/>
  <c r="S34" i="24" s="1"/>
  <c r="T34" i="24" s="1"/>
  <c r="U34" i="24" s="1"/>
  <c r="V34" i="24" s="1"/>
  <c r="W34" i="24" s="1"/>
  <c r="X34" i="24" s="1"/>
  <c r="B34" i="24" s="1"/>
  <c r="J4" i="24" s="1"/>
  <c r="O4" i="24" s="1"/>
  <c r="F34" i="24"/>
  <c r="M33" i="24"/>
  <c r="N33" i="24" s="1"/>
  <c r="O33" i="24" s="1"/>
  <c r="P33" i="24" s="1"/>
  <c r="Q33" i="24" s="1"/>
  <c r="R33" i="24" s="1"/>
  <c r="S33" i="24" s="1"/>
  <c r="T33" i="24" s="1"/>
  <c r="U33" i="24" s="1"/>
  <c r="V33" i="24" s="1"/>
  <c r="W33" i="24" s="1"/>
  <c r="X33" i="24" s="1"/>
  <c r="B33" i="24" s="1"/>
  <c r="J7" i="24" s="1"/>
  <c r="O7" i="24" s="1"/>
  <c r="F33" i="24"/>
  <c r="M32" i="24"/>
  <c r="N32" i="24" s="1"/>
  <c r="O32" i="24" s="1"/>
  <c r="P32" i="24" s="1"/>
  <c r="Q32" i="24" s="1"/>
  <c r="R32" i="24" s="1"/>
  <c r="S32" i="24" s="1"/>
  <c r="T32" i="24" s="1"/>
  <c r="U32" i="24" s="1"/>
  <c r="V32" i="24" s="1"/>
  <c r="W32" i="24" s="1"/>
  <c r="X32" i="24" s="1"/>
  <c r="B32" i="24" s="1"/>
  <c r="J3" i="24" s="1"/>
  <c r="O3" i="24" s="1"/>
  <c r="F32" i="24"/>
  <c r="M31" i="24"/>
  <c r="N31" i="24" s="1"/>
  <c r="O31" i="24" s="1"/>
  <c r="P31" i="24" s="1"/>
  <c r="Q31" i="24" s="1"/>
  <c r="R31" i="24" s="1"/>
  <c r="S31" i="24" s="1"/>
  <c r="T31" i="24" s="1"/>
  <c r="U31" i="24" s="1"/>
  <c r="V31" i="24" s="1"/>
  <c r="W31" i="24" s="1"/>
  <c r="X31" i="24" s="1"/>
  <c r="B31" i="24" s="1"/>
  <c r="F31" i="24"/>
  <c r="N30" i="24"/>
  <c r="O30" i="24" s="1"/>
  <c r="P30" i="24" s="1"/>
  <c r="Q30" i="24" s="1"/>
  <c r="R30" i="24" s="1"/>
  <c r="S30" i="24" s="1"/>
  <c r="T30" i="24" s="1"/>
  <c r="U30" i="24" s="1"/>
  <c r="V30" i="24" s="1"/>
  <c r="W30" i="24" s="1"/>
  <c r="X30" i="24" s="1"/>
  <c r="B30" i="24" s="1"/>
  <c r="M30" i="24"/>
  <c r="F30" i="24"/>
  <c r="M29" i="24"/>
  <c r="N29" i="24" s="1"/>
  <c r="O29" i="24" s="1"/>
  <c r="P29" i="24" s="1"/>
  <c r="Q29" i="24" s="1"/>
  <c r="R29" i="24" s="1"/>
  <c r="S29" i="24" s="1"/>
  <c r="T29" i="24" s="1"/>
  <c r="U29" i="24" s="1"/>
  <c r="V29" i="24" s="1"/>
  <c r="W29" i="24" s="1"/>
  <c r="X29" i="24" s="1"/>
  <c r="B29" i="24" s="1"/>
  <c r="J8" i="24" s="1"/>
  <c r="O8" i="24" s="1"/>
  <c r="F29" i="24"/>
  <c r="M28" i="24"/>
  <c r="N28" i="24" s="1"/>
  <c r="O28" i="24" s="1"/>
  <c r="P28" i="24" s="1"/>
  <c r="Q28" i="24" s="1"/>
  <c r="R28" i="24" s="1"/>
  <c r="S28" i="24" s="1"/>
  <c r="T28" i="24" s="1"/>
  <c r="U28" i="24" s="1"/>
  <c r="V28" i="24" s="1"/>
  <c r="W28" i="24" s="1"/>
  <c r="X28" i="24" s="1"/>
  <c r="B28" i="24" s="1"/>
  <c r="J2" i="24" s="1"/>
  <c r="O2" i="24" s="1"/>
  <c r="F28" i="24"/>
  <c r="M27" i="24"/>
  <c r="N27" i="24" s="1"/>
  <c r="O27" i="24" s="1"/>
  <c r="P27" i="24" s="1"/>
  <c r="Q27" i="24" s="1"/>
  <c r="R27" i="24" s="1"/>
  <c r="S27" i="24" s="1"/>
  <c r="T27" i="24" s="1"/>
  <c r="U27" i="24" s="1"/>
  <c r="V27" i="24" s="1"/>
  <c r="W27" i="24" s="1"/>
  <c r="X27" i="24" s="1"/>
  <c r="B27" i="24" s="1"/>
  <c r="F27" i="24"/>
  <c r="M26" i="24"/>
  <c r="N26" i="24" s="1"/>
  <c r="O26" i="24" s="1"/>
  <c r="P26" i="24" s="1"/>
  <c r="Q26" i="24" s="1"/>
  <c r="R26" i="24" s="1"/>
  <c r="S26" i="24" s="1"/>
  <c r="T26" i="24" s="1"/>
  <c r="U26" i="24" s="1"/>
  <c r="V26" i="24" s="1"/>
  <c r="W26" i="24" s="1"/>
  <c r="X26" i="24" s="1"/>
  <c r="B26" i="24" s="1"/>
  <c r="J5" i="24" s="1"/>
  <c r="O5" i="24" s="1"/>
  <c r="F26" i="24"/>
  <c r="E9" i="21"/>
  <c r="E10" i="21"/>
  <c r="E11" i="21"/>
  <c r="E12" i="21"/>
  <c r="E13" i="21"/>
  <c r="E14" i="21"/>
  <c r="E15" i="21"/>
  <c r="E16" i="21"/>
  <c r="E17" i="21"/>
  <c r="E18" i="21"/>
  <c r="E19" i="21"/>
  <c r="E20" i="21"/>
  <c r="E21" i="21"/>
  <c r="E23" i="21"/>
  <c r="E24" i="21"/>
  <c r="B9" i="21"/>
  <c r="C9" i="21"/>
  <c r="B10" i="21"/>
  <c r="C10" i="21"/>
  <c r="B11" i="21"/>
  <c r="C11" i="21"/>
  <c r="B12" i="21"/>
  <c r="C12" i="21"/>
  <c r="B13" i="21"/>
  <c r="C13" i="21"/>
  <c r="B14" i="21"/>
  <c r="C14" i="21"/>
  <c r="B15" i="21"/>
  <c r="C15" i="21"/>
  <c r="B16" i="21"/>
  <c r="C16" i="21"/>
  <c r="B17" i="21"/>
  <c r="C17" i="21"/>
  <c r="B18" i="21"/>
  <c r="C18" i="21"/>
  <c r="B19" i="21"/>
  <c r="C19" i="21"/>
  <c r="B20" i="21"/>
  <c r="C20" i="21"/>
  <c r="B21" i="21"/>
  <c r="C21" i="21"/>
  <c r="B22" i="21"/>
  <c r="C22" i="21"/>
  <c r="B23" i="21"/>
  <c r="C23" i="21"/>
  <c r="B24" i="21"/>
  <c r="C24" i="21"/>
  <c r="E8" i="21"/>
  <c r="C8" i="21"/>
  <c r="B8" i="21"/>
  <c r="G4" i="21"/>
  <c r="B4" i="21"/>
  <c r="C3" i="21"/>
  <c r="B44" i="21"/>
  <c r="B43" i="21"/>
  <c r="F36" i="21"/>
  <c r="B36" i="21"/>
  <c r="F43" i="21"/>
  <c r="C29" i="21"/>
  <c r="B29" i="21"/>
  <c r="B1" i="21"/>
  <c r="B16" i="20"/>
  <c r="C16" i="20"/>
  <c r="D16" i="20"/>
  <c r="G16" i="20" s="1"/>
  <c r="G4" i="20"/>
  <c r="B4" i="20"/>
  <c r="C3" i="20"/>
  <c r="D19" i="5"/>
  <c r="F22" i="20"/>
  <c r="B22" i="20"/>
  <c r="C15" i="20"/>
  <c r="B15" i="20"/>
  <c r="B1" i="20"/>
  <c r="G4" i="18"/>
  <c r="C3" i="18"/>
  <c r="B4" i="18"/>
  <c r="E12" i="19"/>
  <c r="E21" i="19"/>
  <c r="E19" i="19"/>
  <c r="E18" i="19"/>
  <c r="E16" i="19"/>
  <c r="E14" i="19"/>
  <c r="E13" i="19"/>
  <c r="E11" i="19"/>
  <c r="E20" i="19"/>
  <c r="B9" i="19"/>
  <c r="C9" i="19"/>
  <c r="B10" i="19"/>
  <c r="C10" i="19"/>
  <c r="B11" i="19"/>
  <c r="C11" i="19"/>
  <c r="B12" i="19"/>
  <c r="C12" i="19"/>
  <c r="B13" i="19"/>
  <c r="C13" i="19"/>
  <c r="B14" i="19"/>
  <c r="C14" i="19"/>
  <c r="B16" i="19"/>
  <c r="C16" i="19"/>
  <c r="B18" i="19"/>
  <c r="C18" i="19"/>
  <c r="B19" i="19"/>
  <c r="C19" i="19"/>
  <c r="B20" i="19"/>
  <c r="C20" i="19"/>
  <c r="B21" i="19"/>
  <c r="C21" i="19"/>
  <c r="G4" i="19"/>
  <c r="B4" i="19"/>
  <c r="C3" i="19"/>
  <c r="B41" i="19"/>
  <c r="B40" i="19"/>
  <c r="F33" i="19"/>
  <c r="B33" i="19"/>
  <c r="C26" i="19"/>
  <c r="B26" i="19"/>
  <c r="E10" i="19"/>
  <c r="E9" i="19"/>
  <c r="E8" i="19"/>
  <c r="C8" i="19"/>
  <c r="B8" i="19"/>
  <c r="B1" i="19"/>
  <c r="D21" i="5"/>
  <c r="F18" i="18"/>
  <c r="M16" i="5" l="1"/>
  <c r="M24" i="5"/>
  <c r="M14" i="5"/>
  <c r="N19" i="5"/>
  <c r="J13" i="24"/>
  <c r="O13" i="24" s="1"/>
  <c r="J20" i="24"/>
  <c r="O20" i="24" s="1"/>
  <c r="J11" i="24"/>
  <c r="O11" i="24" s="1"/>
  <c r="J21" i="24"/>
  <c r="O21" i="24" s="1"/>
  <c r="J17" i="24"/>
  <c r="O17" i="24" s="1"/>
  <c r="J16" i="24"/>
  <c r="O16" i="24" s="1"/>
  <c r="J19" i="24"/>
  <c r="O19" i="24" s="1"/>
  <c r="J12" i="24"/>
  <c r="O12" i="24" s="1"/>
  <c r="F44" i="21"/>
  <c r="G11" i="20"/>
  <c r="D22" i="20"/>
  <c r="G22" i="20" s="1"/>
  <c r="G25" i="20" s="1"/>
  <c r="D33" i="19"/>
  <c r="G33" i="19" s="1"/>
  <c r="G36" i="19" s="1"/>
  <c r="O1" i="24" l="1"/>
  <c r="E19" i="5"/>
  <c r="G21" i="5"/>
  <c r="G19" i="5"/>
  <c r="B33" i="18"/>
  <c r="B32" i="18"/>
  <c r="F25" i="18"/>
  <c r="B25" i="18"/>
  <c r="F32" i="18"/>
  <c r="C18" i="18"/>
  <c r="B18" i="18"/>
  <c r="E13" i="18"/>
  <c r="C13" i="18"/>
  <c r="B13" i="18"/>
  <c r="E12" i="18"/>
  <c r="C12" i="18"/>
  <c r="B12" i="18"/>
  <c r="E11" i="18"/>
  <c r="C11" i="18"/>
  <c r="B11" i="18"/>
  <c r="E10" i="18"/>
  <c r="C10" i="18"/>
  <c r="B10" i="18"/>
  <c r="E9" i="18"/>
  <c r="C9" i="18"/>
  <c r="B9" i="18"/>
  <c r="E8" i="18"/>
  <c r="C8" i="18"/>
  <c r="B8" i="18"/>
  <c r="B1" i="18"/>
  <c r="K19" i="5" l="1"/>
  <c r="M19" i="5"/>
  <c r="M21" i="5"/>
  <c r="D25" i="18"/>
  <c r="G25" i="18" s="1"/>
  <c r="G28" i="18" s="1"/>
  <c r="F33" i="18"/>
  <c r="G15" i="5" l="1"/>
  <c r="E24" i="17"/>
  <c r="E22" i="17"/>
  <c r="B20" i="17"/>
  <c r="C20" i="17"/>
  <c r="F29" i="17"/>
  <c r="F43" i="17" s="1"/>
  <c r="C24" i="17"/>
  <c r="B9" i="17"/>
  <c r="C9" i="17"/>
  <c r="B10" i="17"/>
  <c r="C10" i="17"/>
  <c r="B11" i="17"/>
  <c r="C11" i="17"/>
  <c r="B12" i="17"/>
  <c r="C12" i="17"/>
  <c r="B13" i="17"/>
  <c r="C13" i="17"/>
  <c r="B14" i="17"/>
  <c r="C14" i="17"/>
  <c r="B15" i="17"/>
  <c r="C15" i="17"/>
  <c r="B16" i="17"/>
  <c r="C16" i="17"/>
  <c r="B17" i="17"/>
  <c r="C17" i="17"/>
  <c r="B18" i="17"/>
  <c r="C18" i="17"/>
  <c r="B19" i="17"/>
  <c r="C19" i="17"/>
  <c r="B21" i="17"/>
  <c r="C21" i="17"/>
  <c r="B22" i="17"/>
  <c r="C22" i="17"/>
  <c r="G4" i="17"/>
  <c r="B4" i="17"/>
  <c r="C3" i="17"/>
  <c r="B44" i="17"/>
  <c r="B43" i="17"/>
  <c r="F36" i="17"/>
  <c r="B36" i="17"/>
  <c r="C29" i="17"/>
  <c r="B29" i="17"/>
  <c r="E8" i="17"/>
  <c r="C8" i="17"/>
  <c r="B8" i="17"/>
  <c r="B1" i="17"/>
  <c r="F15" i="16"/>
  <c r="F29" i="16" s="1"/>
  <c r="B4" i="16"/>
  <c r="G4" i="16"/>
  <c r="C3" i="16"/>
  <c r="B30" i="16"/>
  <c r="B29" i="16"/>
  <c r="F22" i="16"/>
  <c r="B22" i="16"/>
  <c r="C15" i="16"/>
  <c r="B15" i="16"/>
  <c r="E8" i="16"/>
  <c r="D22" i="16" s="1"/>
  <c r="C8" i="16"/>
  <c r="B8" i="16"/>
  <c r="B1" i="16"/>
  <c r="B9" i="15"/>
  <c r="C9" i="15"/>
  <c r="E9" i="15"/>
  <c r="M15" i="5" l="1"/>
  <c r="G22" i="16"/>
  <c r="G25" i="16" s="1"/>
  <c r="F44" i="17"/>
  <c r="F30" i="16"/>
  <c r="G13" i="5" l="1"/>
  <c r="F15" i="15"/>
  <c r="G4" i="15"/>
  <c r="B4" i="15"/>
  <c r="C3" i="15"/>
  <c r="B30" i="15"/>
  <c r="B29" i="15"/>
  <c r="F22" i="15"/>
  <c r="B22" i="15"/>
  <c r="F29" i="15"/>
  <c r="C15" i="15"/>
  <c r="B15" i="15"/>
  <c r="E8" i="15"/>
  <c r="D22" i="15" s="1"/>
  <c r="C8" i="15"/>
  <c r="B8" i="15"/>
  <c r="B1" i="15"/>
  <c r="F15" i="14"/>
  <c r="F30" i="14" s="1"/>
  <c r="G4" i="14"/>
  <c r="B4" i="14"/>
  <c r="C3" i="14"/>
  <c r="B30" i="14"/>
  <c r="B29" i="14"/>
  <c r="F22" i="14"/>
  <c r="B22" i="14"/>
  <c r="C15" i="14"/>
  <c r="B15" i="14"/>
  <c r="E8" i="14"/>
  <c r="C8" i="14"/>
  <c r="B8" i="14"/>
  <c r="B1" i="14"/>
  <c r="D11" i="5"/>
  <c r="M13" i="5" l="1"/>
  <c r="G22" i="15"/>
  <c r="G25" i="15" s="1"/>
  <c r="F29" i="14"/>
  <c r="F30" i="15"/>
  <c r="D22" i="14"/>
  <c r="G22" i="14" s="1"/>
  <c r="G25" i="14" s="1"/>
  <c r="G11" i="5" l="1"/>
  <c r="G12" i="5"/>
  <c r="M12" i="5" l="1"/>
  <c r="M11" i="5"/>
  <c r="B11" i="7"/>
  <c r="C11" i="7"/>
  <c r="E11" i="7"/>
  <c r="F24" i="7"/>
  <c r="B24" i="7"/>
  <c r="B32" i="7"/>
  <c r="B31" i="7"/>
  <c r="C17" i="7"/>
  <c r="B17" i="7"/>
  <c r="B12" i="7"/>
  <c r="C12" i="7"/>
  <c r="E12" i="7"/>
  <c r="B10" i="7"/>
  <c r="C10" i="7"/>
  <c r="E10" i="7"/>
  <c r="F12" i="59"/>
  <c r="G12" i="59" s="1"/>
  <c r="F13" i="59"/>
  <c r="G13" i="59" s="1"/>
  <c r="B9" i="7"/>
  <c r="C9" i="7"/>
  <c r="E9" i="7"/>
  <c r="B8" i="7"/>
  <c r="E8" i="7"/>
  <c r="C8" i="7"/>
  <c r="F12" i="19"/>
  <c r="G12" i="19" s="1"/>
  <c r="F11" i="19"/>
  <c r="G11" i="19" s="1"/>
  <c r="F10" i="19"/>
  <c r="G10" i="19" s="1"/>
  <c r="F9" i="19"/>
  <c r="G9" i="19" s="1"/>
  <c r="F21" i="19"/>
  <c r="G21" i="19" s="1"/>
  <c r="F20" i="19"/>
  <c r="G20" i="19" s="1"/>
  <c r="F19" i="19"/>
  <c r="G19" i="19" s="1"/>
  <c r="F18" i="19"/>
  <c r="G18" i="19" s="1"/>
  <c r="F16" i="19"/>
  <c r="G16" i="19" s="1"/>
  <c r="F14" i="19"/>
  <c r="G14" i="19" s="1"/>
  <c r="F13" i="19"/>
  <c r="G13" i="19" s="1"/>
  <c r="F8" i="19"/>
  <c r="G8" i="19" s="1"/>
  <c r="F23" i="60"/>
  <c r="G23" i="60" s="1"/>
  <c r="F21" i="60"/>
  <c r="G21" i="60" s="1"/>
  <c r="F12" i="7"/>
  <c r="G12" i="7" s="1"/>
  <c r="F15" i="43"/>
  <c r="G15" i="43" s="1"/>
  <c r="F16" i="43" s="1"/>
  <c r="G16" i="43" s="1"/>
  <c r="F12" i="60"/>
  <c r="G12" i="60" s="1"/>
  <c r="F9" i="18"/>
  <c r="G9" i="18" s="1"/>
  <c r="F11" i="18"/>
  <c r="G11" i="18" s="1"/>
  <c r="F8" i="18"/>
  <c r="G8" i="18" s="1"/>
  <c r="F9" i="7"/>
  <c r="G9" i="7" s="1"/>
  <c r="G4" i="7"/>
  <c r="B4" i="7"/>
  <c r="C3" i="7"/>
  <c r="B1" i="7"/>
  <c r="B31" i="6"/>
  <c r="B30" i="6"/>
  <c r="E18" i="6"/>
  <c r="E17" i="6"/>
  <c r="F4" i="6"/>
  <c r="B4" i="6"/>
  <c r="C3" i="6"/>
  <c r="B1" i="6"/>
  <c r="F13" i="6"/>
  <c r="F33" i="4"/>
  <c r="G33" i="4" s="1"/>
  <c r="F32" i="4"/>
  <c r="G32" i="4" s="1"/>
  <c r="F31" i="4"/>
  <c r="G31" i="4" s="1"/>
  <c r="F30" i="4"/>
  <c r="G30" i="4" s="1"/>
  <c r="F29" i="4"/>
  <c r="G29" i="4" s="1"/>
  <c r="F28" i="4"/>
  <c r="G28" i="4" s="1"/>
  <c r="F27" i="4"/>
  <c r="G27" i="4" s="1"/>
  <c r="F26" i="4"/>
  <c r="G26" i="4" s="1"/>
  <c r="F25" i="4"/>
  <c r="G25" i="4" s="1"/>
  <c r="F24" i="4"/>
  <c r="G24" i="4" s="1"/>
  <c r="F23" i="4"/>
  <c r="G23" i="4" s="1"/>
  <c r="F22" i="4"/>
  <c r="G22" i="4" s="1"/>
  <c r="F21" i="4"/>
  <c r="G21" i="4" s="1"/>
  <c r="F20" i="4"/>
  <c r="G20" i="4" s="1"/>
  <c r="F19" i="4"/>
  <c r="G19" i="4" s="1"/>
  <c r="F18" i="4"/>
  <c r="G18" i="4" s="1"/>
  <c r="F17" i="4"/>
  <c r="G17" i="4" s="1"/>
  <c r="F16" i="4"/>
  <c r="G16" i="4" s="1"/>
  <c r="F15" i="4"/>
  <c r="G15" i="4" s="1"/>
  <c r="F14" i="4"/>
  <c r="G14" i="4" s="1"/>
  <c r="F13" i="4"/>
  <c r="G13" i="4" s="1"/>
  <c r="C8" i="4"/>
  <c r="D17" i="6"/>
  <c r="D58" i="1"/>
  <c r="F58" i="1" s="1"/>
  <c r="D57" i="1"/>
  <c r="F57" i="1" s="1"/>
  <c r="D56" i="1"/>
  <c r="F56" i="1" s="1"/>
  <c r="D55" i="1"/>
  <c r="F55" i="1" s="1"/>
  <c r="D54" i="1"/>
  <c r="F54" i="1" s="1"/>
  <c r="D53" i="1"/>
  <c r="F53" i="1" s="1"/>
  <c r="D52" i="1"/>
  <c r="F52" i="1" s="1"/>
  <c r="D51" i="1"/>
  <c r="F51" i="1" s="1"/>
  <c r="D50" i="1"/>
  <c r="F50" i="1" s="1"/>
  <c r="D49" i="1"/>
  <c r="F49" i="1" s="1"/>
  <c r="D48" i="1"/>
  <c r="F48" i="1" s="1"/>
  <c r="D47" i="1"/>
  <c r="F47" i="1" s="1"/>
  <c r="D46" i="1"/>
  <c r="F46" i="1" s="1"/>
  <c r="D45" i="1"/>
  <c r="F45" i="1" s="1"/>
  <c r="D44" i="1"/>
  <c r="F44" i="1" s="1"/>
  <c r="D43" i="1"/>
  <c r="F43" i="1" s="1"/>
  <c r="D42" i="1"/>
  <c r="F42" i="1" s="1"/>
  <c r="D41" i="1"/>
  <c r="F41" i="1" s="1"/>
  <c r="D40" i="1"/>
  <c r="F40" i="1" s="1"/>
  <c r="D39" i="1"/>
  <c r="F39" i="1" s="1"/>
  <c r="D38" i="1"/>
  <c r="F38" i="1" s="1"/>
  <c r="D37" i="1"/>
  <c r="F37" i="1" s="1"/>
  <c r="D36" i="1"/>
  <c r="F36" i="1" s="1"/>
  <c r="D35" i="1"/>
  <c r="F35" i="1" s="1"/>
  <c r="D34" i="1"/>
  <c r="F34" i="1" s="1"/>
  <c r="D33" i="1"/>
  <c r="F33" i="1" s="1"/>
  <c r="D32" i="1"/>
  <c r="F32" i="1" s="1"/>
  <c r="D31" i="1"/>
  <c r="F31" i="1" s="1"/>
  <c r="D30" i="1"/>
  <c r="F30" i="1" s="1"/>
  <c r="D23" i="1"/>
  <c r="D22" i="1"/>
  <c r="D20" i="1"/>
  <c r="D19" i="1"/>
  <c r="D18" i="1"/>
  <c r="D17" i="1"/>
  <c r="D16" i="1"/>
  <c r="D14" i="1"/>
  <c r="D13" i="1"/>
  <c r="D29" i="63" l="1"/>
  <c r="G29" i="63" s="1"/>
  <c r="G32" i="63" s="1"/>
  <c r="D18" i="62"/>
  <c r="G18" i="62" s="1"/>
  <c r="G21" i="62" s="1"/>
  <c r="D15" i="61"/>
  <c r="G15" i="61" s="1"/>
  <c r="G18" i="61" s="1"/>
  <c r="D31" i="60"/>
  <c r="G31" i="60" s="1"/>
  <c r="G34" i="60" s="1"/>
  <c r="F10" i="5" s="1"/>
  <c r="D22" i="59"/>
  <c r="G22" i="59" s="1"/>
  <c r="G25" i="59" s="1"/>
  <c r="F8" i="5" s="1"/>
  <c r="E9" i="39"/>
  <c r="E9" i="59"/>
  <c r="E11" i="39"/>
  <c r="E11" i="59"/>
  <c r="E21" i="17"/>
  <c r="D36" i="17" s="1"/>
  <c r="G36" i="17" s="1"/>
  <c r="G39" i="17" s="1"/>
  <c r="G9" i="5" s="1"/>
  <c r="E22" i="60"/>
  <c r="D38" i="60" s="1"/>
  <c r="G38" i="60" s="1"/>
  <c r="G41" i="60" s="1"/>
  <c r="G10" i="5" s="1"/>
  <c r="F8" i="17"/>
  <c r="G8" i="17" s="1"/>
  <c r="F8" i="60"/>
  <c r="G8" i="60" s="1"/>
  <c r="F17" i="17"/>
  <c r="G17" i="17" s="1"/>
  <c r="F17" i="60"/>
  <c r="G17" i="60" s="1"/>
  <c r="F25" i="60"/>
  <c r="G25" i="60" s="1"/>
  <c r="F23" i="17"/>
  <c r="G23" i="17" s="1"/>
  <c r="F26" i="60"/>
  <c r="G26" i="60" s="1"/>
  <c r="F10" i="17"/>
  <c r="G10" i="17" s="1"/>
  <c r="F10" i="60"/>
  <c r="G10" i="60" s="1"/>
  <c r="F11" i="17"/>
  <c r="G11" i="17" s="1"/>
  <c r="F11" i="60"/>
  <c r="G11" i="60" s="1"/>
  <c r="F13" i="17"/>
  <c r="G13" i="17" s="1"/>
  <c r="F13" i="60"/>
  <c r="G13" i="60" s="1"/>
  <c r="F9" i="17"/>
  <c r="G9" i="17" s="1"/>
  <c r="F9" i="60"/>
  <c r="G9" i="60" s="1"/>
  <c r="F16" i="17"/>
  <c r="G16" i="17" s="1"/>
  <c r="F16" i="60"/>
  <c r="G16" i="60" s="1"/>
  <c r="F15" i="17"/>
  <c r="G15" i="17" s="1"/>
  <c r="F15" i="60"/>
  <c r="G15" i="60" s="1"/>
  <c r="F17" i="39"/>
  <c r="G17" i="39" s="1"/>
  <c r="F17" i="59"/>
  <c r="G17" i="59" s="1"/>
  <c r="F8" i="39"/>
  <c r="G8" i="39" s="1"/>
  <c r="F8" i="59"/>
  <c r="G8" i="59" s="1"/>
  <c r="F16" i="39"/>
  <c r="G16" i="39" s="1"/>
  <c r="F16" i="59"/>
  <c r="G16" i="59" s="1"/>
  <c r="E29" i="4"/>
  <c r="H29" i="4" s="1"/>
  <c r="K17" i="4"/>
  <c r="K21" i="4"/>
  <c r="K30" i="4"/>
  <c r="D32" i="43"/>
  <c r="G32" i="43" s="1"/>
  <c r="G35" i="43" s="1"/>
  <c r="D22" i="39"/>
  <c r="G22" i="39" s="1"/>
  <c r="G25" i="39" s="1"/>
  <c r="E31" i="4"/>
  <c r="H31" i="4" s="1"/>
  <c r="E15" i="4"/>
  <c r="K25" i="4"/>
  <c r="E30" i="6"/>
  <c r="E31" i="6" s="1"/>
  <c r="E24" i="6"/>
  <c r="F24" i="6" s="1"/>
  <c r="F26" i="6" s="1"/>
  <c r="E18" i="4"/>
  <c r="H18" i="4" s="1"/>
  <c r="D15" i="1"/>
  <c r="F17" i="7"/>
  <c r="E21" i="4"/>
  <c r="H21" i="4" s="1"/>
  <c r="K31" i="4"/>
  <c r="F11" i="43"/>
  <c r="G11" i="43" s="1"/>
  <c r="F12" i="43"/>
  <c r="G12" i="43" s="1"/>
  <c r="F10" i="43"/>
  <c r="G10" i="43" s="1"/>
  <c r="F9" i="43"/>
  <c r="G9" i="43" s="1"/>
  <c r="F13" i="18"/>
  <c r="G13" i="18" s="1"/>
  <c r="F22" i="17"/>
  <c r="G22" i="17" s="1"/>
  <c r="F8" i="7"/>
  <c r="F20" i="17"/>
  <c r="G20" i="17" s="1"/>
  <c r="F12" i="39"/>
  <c r="G12" i="39" s="1"/>
  <c r="F13" i="39"/>
  <c r="G13" i="39" s="1"/>
  <c r="E5" i="5"/>
  <c r="F17" i="6"/>
  <c r="D21" i="1"/>
  <c r="K28" i="4"/>
  <c r="D29" i="21"/>
  <c r="G29" i="21" s="1"/>
  <c r="G32" i="21" s="1"/>
  <c r="E20" i="4"/>
  <c r="H20" i="4" s="1"/>
  <c r="K24" i="4"/>
  <c r="F18" i="6"/>
  <c r="E17" i="4"/>
  <c r="E25" i="4"/>
  <c r="D17" i="7"/>
  <c r="E22" i="21"/>
  <c r="D36" i="21" s="1"/>
  <c r="G36" i="21" s="1"/>
  <c r="G39" i="21" s="1"/>
  <c r="F14" i="21"/>
  <c r="G14" i="21" s="1"/>
  <c r="F17" i="21"/>
  <c r="G17" i="21" s="1"/>
  <c r="F12" i="21"/>
  <c r="G12" i="21" s="1"/>
  <c r="F18" i="21"/>
  <c r="G18" i="21" s="1"/>
  <c r="F8" i="21"/>
  <c r="G8" i="21" s="1"/>
  <c r="F15" i="21"/>
  <c r="G15" i="21" s="1"/>
  <c r="F16" i="21"/>
  <c r="G16" i="21" s="1"/>
  <c r="F10" i="21"/>
  <c r="G10" i="21" s="1"/>
  <c r="F11" i="21"/>
  <c r="G11" i="21" s="1"/>
  <c r="F20" i="21"/>
  <c r="G20" i="21" s="1"/>
  <c r="F13" i="21"/>
  <c r="G13" i="21" s="1"/>
  <c r="F23" i="21"/>
  <c r="G23" i="21" s="1"/>
  <c r="F24" i="21"/>
  <c r="G24" i="21" s="1"/>
  <c r="D26" i="19"/>
  <c r="G26" i="19" s="1"/>
  <c r="G29" i="19" s="1"/>
  <c r="D15" i="20"/>
  <c r="G15" i="20" s="1"/>
  <c r="G18" i="20" s="1"/>
  <c r="D18" i="18"/>
  <c r="G18" i="18" s="1"/>
  <c r="G21" i="18" s="1"/>
  <c r="D29" i="17"/>
  <c r="G29" i="17" s="1"/>
  <c r="G32" i="17" s="1"/>
  <c r="D15" i="16"/>
  <c r="G15" i="16" s="1"/>
  <c r="G18" i="16" s="1"/>
  <c r="D15" i="14"/>
  <c r="G15" i="14" s="1"/>
  <c r="G18" i="14" s="1"/>
  <c r="D15" i="15"/>
  <c r="G15" i="15" s="1"/>
  <c r="G18" i="15" s="1"/>
  <c r="F12" i="18"/>
  <c r="G12" i="18" s="1"/>
  <c r="F18" i="60"/>
  <c r="G18" i="60" s="1"/>
  <c r="F12" i="17"/>
  <c r="G12" i="17" s="1"/>
  <c r="F8" i="16"/>
  <c r="D24" i="7"/>
  <c r="G24" i="7" s="1"/>
  <c r="G27" i="7" s="1"/>
  <c r="F19" i="60"/>
  <c r="G19" i="60" s="1"/>
  <c r="G22" i="19"/>
  <c r="E21" i="5" s="1"/>
  <c r="F20" i="60"/>
  <c r="G20" i="60" s="1"/>
  <c r="F24" i="17"/>
  <c r="G24" i="17" s="1"/>
  <c r="F8" i="15"/>
  <c r="E4" i="34" s="1"/>
  <c r="F8" i="14"/>
  <c r="F10" i="7"/>
  <c r="G10" i="7" s="1"/>
  <c r="E27" i="9"/>
  <c r="K15" i="4"/>
  <c r="K26" i="4"/>
  <c r="E19" i="4"/>
  <c r="H19" i="4" s="1"/>
  <c r="K23" i="4"/>
  <c r="K29" i="4"/>
  <c r="K18" i="4"/>
  <c r="E22" i="4"/>
  <c r="K32" i="4"/>
  <c r="E13" i="4"/>
  <c r="H13" i="4" s="1"/>
  <c r="K20" i="4"/>
  <c r="E24" i="4"/>
  <c r="H24" i="4" s="1"/>
  <c r="E30" i="4"/>
  <c r="H30" i="4" s="1"/>
  <c r="K22" i="4"/>
  <c r="E26" i="4"/>
  <c r="H26" i="4" s="1"/>
  <c r="E32" i="4"/>
  <c r="H32" i="4" s="1"/>
  <c r="K13" i="4"/>
  <c r="K19" i="4"/>
  <c r="E23" i="4"/>
  <c r="H23" i="4" s="1"/>
  <c r="D24" i="1" l="1"/>
  <c r="L8" i="5"/>
  <c r="L10" i="5"/>
  <c r="F14" i="5"/>
  <c r="F16" i="5"/>
  <c r="C43" i="63"/>
  <c r="C32" i="62"/>
  <c r="G32" i="62" s="1"/>
  <c r="C29" i="61"/>
  <c r="G29" i="61" s="1"/>
  <c r="H14" i="5" s="1"/>
  <c r="C45" i="60"/>
  <c r="G45" i="60" s="1"/>
  <c r="H10" i="5" s="1"/>
  <c r="C36" i="59"/>
  <c r="D44" i="63"/>
  <c r="D43" i="63"/>
  <c r="D33" i="62"/>
  <c r="D30" i="61"/>
  <c r="D32" i="62"/>
  <c r="D29" i="61"/>
  <c r="D46" i="60"/>
  <c r="D45" i="60"/>
  <c r="D36" i="59"/>
  <c r="D37" i="59"/>
  <c r="F24" i="5"/>
  <c r="D29" i="39"/>
  <c r="G29" i="39" s="1"/>
  <c r="G32" i="39" s="1"/>
  <c r="G7" i="5" s="1"/>
  <c r="M10" i="5"/>
  <c r="D29" i="59"/>
  <c r="G29" i="59" s="1"/>
  <c r="G32" i="59" s="1"/>
  <c r="G8" i="5" s="1"/>
  <c r="F15" i="59"/>
  <c r="G15" i="59" s="1"/>
  <c r="F14" i="60"/>
  <c r="G14" i="60" s="1"/>
  <c r="F21" i="17"/>
  <c r="G21" i="17" s="1"/>
  <c r="F22" i="60"/>
  <c r="G22" i="60" s="1"/>
  <c r="F9" i="39"/>
  <c r="G9" i="39" s="1"/>
  <c r="F9" i="59"/>
  <c r="G9" i="59" s="1"/>
  <c r="F10" i="39"/>
  <c r="G10" i="39" s="1"/>
  <c r="F10" i="59"/>
  <c r="G10" i="59" s="1"/>
  <c r="F11" i="39"/>
  <c r="G11" i="39" s="1"/>
  <c r="F11" i="59"/>
  <c r="G11" i="59" s="1"/>
  <c r="H25" i="4"/>
  <c r="H22" i="4"/>
  <c r="H17" i="4"/>
  <c r="D30" i="20"/>
  <c r="D46" i="43"/>
  <c r="D79" i="43"/>
  <c r="D74" i="43"/>
  <c r="D70" i="43"/>
  <c r="D68" i="43"/>
  <c r="D47" i="43"/>
  <c r="D78" i="43"/>
  <c r="D73" i="43"/>
  <c r="D65" i="43"/>
  <c r="D48" i="43"/>
  <c r="D67" i="43"/>
  <c r="D63" i="43"/>
  <c r="D80" i="43"/>
  <c r="D71" i="43"/>
  <c r="D62" i="43"/>
  <c r="C43" i="21"/>
  <c r="C40" i="19"/>
  <c r="C29" i="14"/>
  <c r="C32" i="18"/>
  <c r="C43" i="17"/>
  <c r="C29" i="16"/>
  <c r="C36" i="39"/>
  <c r="C29" i="15"/>
  <c r="C31" i="7"/>
  <c r="H15" i="4"/>
  <c r="C30" i="6" s="1"/>
  <c r="E28" i="4"/>
  <c r="H28" i="4" s="1"/>
  <c r="K14" i="4"/>
  <c r="G17" i="7"/>
  <c r="G20" i="7" s="1"/>
  <c r="F6" i="5" s="1"/>
  <c r="M9" i="5"/>
  <c r="K5" i="5"/>
  <c r="F12" i="5"/>
  <c r="F18" i="5"/>
  <c r="F13" i="5"/>
  <c r="F13" i="43"/>
  <c r="G13" i="43" s="1"/>
  <c r="G28" i="43" s="1"/>
  <c r="F23" i="5"/>
  <c r="F11" i="5"/>
  <c r="F15" i="5"/>
  <c r="F32" i="7"/>
  <c r="F31" i="7"/>
  <c r="F7" i="5"/>
  <c r="D37" i="39"/>
  <c r="D36" i="39"/>
  <c r="F21" i="5"/>
  <c r="G8" i="7"/>
  <c r="F9" i="15"/>
  <c r="G9" i="15" s="1"/>
  <c r="F9" i="21"/>
  <c r="G9" i="21" s="1"/>
  <c r="E3" i="34"/>
  <c r="F3" i="34" s="1"/>
  <c r="F18" i="17"/>
  <c r="G18" i="17" s="1"/>
  <c r="F9" i="5"/>
  <c r="G8" i="15"/>
  <c r="F4" i="34"/>
  <c r="G8" i="14"/>
  <c r="G11" i="14" s="1"/>
  <c r="E5" i="34"/>
  <c r="F5" i="34" s="1"/>
  <c r="F10" i="18"/>
  <c r="G10" i="18" s="1"/>
  <c r="G14" i="18" s="1"/>
  <c r="F15" i="39"/>
  <c r="G15" i="39" s="1"/>
  <c r="G8" i="16"/>
  <c r="G11" i="16" s="1"/>
  <c r="E6" i="34"/>
  <c r="F6" i="34" s="1"/>
  <c r="F20" i="6"/>
  <c r="G5" i="5"/>
  <c r="G6" i="5"/>
  <c r="G23" i="5"/>
  <c r="F19" i="5"/>
  <c r="E14" i="4"/>
  <c r="D40" i="19"/>
  <c r="D41" i="19"/>
  <c r="D44" i="21"/>
  <c r="D43" i="21"/>
  <c r="D32" i="18"/>
  <c r="D33" i="18"/>
  <c r="D43" i="17"/>
  <c r="D30" i="16"/>
  <c r="D29" i="16"/>
  <c r="D44" i="17"/>
  <c r="D30" i="15"/>
  <c r="D29" i="14"/>
  <c r="D29" i="15"/>
  <c r="D30" i="14"/>
  <c r="D31" i="6"/>
  <c r="D32" i="7"/>
  <c r="D30" i="6"/>
  <c r="D31" i="7"/>
  <c r="F21" i="21"/>
  <c r="G21" i="21" s="1"/>
  <c r="F22" i="21"/>
  <c r="G22" i="21" s="1"/>
  <c r="F19" i="21"/>
  <c r="G19" i="21" s="1"/>
  <c r="F11" i="7"/>
  <c r="G11" i="7" s="1"/>
  <c r="F19" i="17"/>
  <c r="G19" i="17" s="1"/>
  <c r="F14" i="17"/>
  <c r="G14" i="17" s="1"/>
  <c r="K33" i="4"/>
  <c r="E33" i="4"/>
  <c r="H33" i="4" s="1"/>
  <c r="E27" i="4"/>
  <c r="K27" i="4"/>
  <c r="K16" i="4"/>
  <c r="E16" i="4"/>
  <c r="H16" i="4" s="1"/>
  <c r="G43" i="63" l="1"/>
  <c r="N10" i="5"/>
  <c r="H24" i="5"/>
  <c r="L16" i="5"/>
  <c r="L24" i="5"/>
  <c r="L14" i="5"/>
  <c r="H16" i="5"/>
  <c r="N14" i="5"/>
  <c r="G36" i="59"/>
  <c r="F8" i="34"/>
  <c r="M8" i="5"/>
  <c r="G18" i="59"/>
  <c r="E8" i="5" s="1"/>
  <c r="G27" i="60"/>
  <c r="G18" i="39"/>
  <c r="E7" i="5" s="1"/>
  <c r="C48" i="43"/>
  <c r="C80" i="43"/>
  <c r="C70" i="43"/>
  <c r="G70" i="43" s="1"/>
  <c r="E80" i="43" s="1"/>
  <c r="C62" i="43"/>
  <c r="G62" i="43" s="1"/>
  <c r="C67" i="43"/>
  <c r="G67" i="43" s="1"/>
  <c r="C46" i="43"/>
  <c r="C78" i="43"/>
  <c r="C73" i="43"/>
  <c r="G73" i="43" s="1"/>
  <c r="H14" i="4"/>
  <c r="F30" i="6"/>
  <c r="H5" i="5" s="1"/>
  <c r="N5" i="5" s="1"/>
  <c r="H27" i="4"/>
  <c r="G29" i="16"/>
  <c r="H13" i="5" s="1"/>
  <c r="G29" i="14"/>
  <c r="H11" i="5" s="1"/>
  <c r="G40" i="19"/>
  <c r="H21" i="5" s="1"/>
  <c r="L7" i="5"/>
  <c r="L11" i="5"/>
  <c r="L9" i="5"/>
  <c r="M23" i="5"/>
  <c r="L23" i="5"/>
  <c r="M6" i="5"/>
  <c r="M5" i="5"/>
  <c r="L12" i="5"/>
  <c r="L13" i="5"/>
  <c r="L21" i="5"/>
  <c r="L18" i="5"/>
  <c r="K21" i="5"/>
  <c r="M7" i="5"/>
  <c r="L15" i="5"/>
  <c r="L6" i="5"/>
  <c r="G36" i="39"/>
  <c r="H7" i="5" s="1"/>
  <c r="G29" i="15"/>
  <c r="H12" i="5" s="1"/>
  <c r="G43" i="17"/>
  <c r="H9" i="5" s="1"/>
  <c r="G32" i="18"/>
  <c r="H15" i="5" s="1"/>
  <c r="G43" i="21"/>
  <c r="H23" i="5" s="1"/>
  <c r="F5" i="5"/>
  <c r="E18" i="5"/>
  <c r="G11" i="15"/>
  <c r="E11" i="5"/>
  <c r="E15" i="5"/>
  <c r="E13" i="5"/>
  <c r="G31" i="7"/>
  <c r="H6" i="5" s="1"/>
  <c r="L19" i="5"/>
  <c r="G25" i="21"/>
  <c r="G25" i="17"/>
  <c r="G13" i="7"/>
  <c r="C44" i="63" l="1"/>
  <c r="G44" i="63" s="1"/>
  <c r="C30" i="61"/>
  <c r="G30" i="61" s="1"/>
  <c r="C33" i="62"/>
  <c r="G33" i="62" s="1"/>
  <c r="C46" i="60"/>
  <c r="G46" i="60" s="1"/>
  <c r="C37" i="59"/>
  <c r="G37" i="59" s="1"/>
  <c r="I8" i="5" s="1"/>
  <c r="J8" i="5" s="1"/>
  <c r="P8" i="5" s="1"/>
  <c r="N24" i="5"/>
  <c r="N16" i="5"/>
  <c r="H8" i="5"/>
  <c r="G80" i="43"/>
  <c r="F48" i="43" s="1"/>
  <c r="G48" i="43" s="1"/>
  <c r="M25" i="5"/>
  <c r="E10" i="5"/>
  <c r="K8" i="5"/>
  <c r="E78" i="43"/>
  <c r="G78" i="43" s="1"/>
  <c r="F46" i="43" s="1"/>
  <c r="G46" i="43" s="1"/>
  <c r="C31" i="6"/>
  <c r="F31" i="6" s="1"/>
  <c r="I5" i="5" s="1"/>
  <c r="C63" i="43"/>
  <c r="G63" i="43" s="1"/>
  <c r="C71" i="43"/>
  <c r="G71" i="43" s="1"/>
  <c r="C74" i="43"/>
  <c r="G74" i="43" s="1"/>
  <c r="C79" i="43"/>
  <c r="C65" i="43"/>
  <c r="G65" i="43" s="1"/>
  <c r="C68" i="43"/>
  <c r="G68" i="43" s="1"/>
  <c r="C44" i="21"/>
  <c r="G44" i="21" s="1"/>
  <c r="G46" i="21" s="1"/>
  <c r="G48" i="21" s="1"/>
  <c r="C41" i="19"/>
  <c r="G41" i="19" s="1"/>
  <c r="I21" i="5" s="1"/>
  <c r="C30" i="20"/>
  <c r="G30" i="20" s="1"/>
  <c r="I19" i="5" s="1"/>
  <c r="C47" i="43"/>
  <c r="C30" i="14"/>
  <c r="G30" i="14" s="1"/>
  <c r="G32" i="14" s="1"/>
  <c r="G34" i="14" s="1"/>
  <c r="C44" i="17"/>
  <c r="G44" i="17" s="1"/>
  <c r="I9" i="5" s="1"/>
  <c r="C30" i="16"/>
  <c r="G30" i="16" s="1"/>
  <c r="G32" i="16" s="1"/>
  <c r="G34" i="16" s="1"/>
  <c r="C37" i="39"/>
  <c r="G37" i="39" s="1"/>
  <c r="G39" i="39" s="1"/>
  <c r="G41" i="39" s="1"/>
  <c r="C30" i="15"/>
  <c r="G30" i="15" s="1"/>
  <c r="I12" i="5" s="1"/>
  <c r="C32" i="7"/>
  <c r="G32" i="7" s="1"/>
  <c r="I6" i="5" s="1"/>
  <c r="C33" i="18"/>
  <c r="G33" i="18" s="1"/>
  <c r="I15" i="5" s="1"/>
  <c r="N15" i="5"/>
  <c r="N9" i="5"/>
  <c r="N12" i="5"/>
  <c r="N11" i="5"/>
  <c r="N6" i="5"/>
  <c r="N23" i="5"/>
  <c r="N13" i="5"/>
  <c r="N21" i="5"/>
  <c r="N7" i="5"/>
  <c r="K18" i="5"/>
  <c r="K15" i="5"/>
  <c r="K13" i="5"/>
  <c r="K11" i="5"/>
  <c r="L5" i="5"/>
  <c r="L25" i="5" s="1"/>
  <c r="G32" i="15"/>
  <c r="E12" i="5"/>
  <c r="K7" i="5"/>
  <c r="E9" i="5"/>
  <c r="E6" i="5"/>
  <c r="E23" i="5"/>
  <c r="G35" i="18" l="1"/>
  <c r="G37" i="18" s="1"/>
  <c r="I23" i="5"/>
  <c r="G34" i="7"/>
  <c r="H18" i="5"/>
  <c r="G48" i="60"/>
  <c r="G50" i="60" s="1"/>
  <c r="I10" i="5"/>
  <c r="G39" i="59"/>
  <c r="G41" i="59" s="1"/>
  <c r="I16" i="5"/>
  <c r="G35" i="62"/>
  <c r="G37" i="62" s="1"/>
  <c r="N8" i="5"/>
  <c r="G32" i="61"/>
  <c r="G34" i="61" s="1"/>
  <c r="I14" i="5"/>
  <c r="F33" i="6"/>
  <c r="F35" i="6" s="1"/>
  <c r="I24" i="5"/>
  <c r="G46" i="63"/>
  <c r="G48" i="63" s="1"/>
  <c r="O8" i="5"/>
  <c r="O6" i="5"/>
  <c r="J10" i="5"/>
  <c r="P10" i="5" s="1"/>
  <c r="K10" i="5"/>
  <c r="G75" i="43"/>
  <c r="O19" i="5"/>
  <c r="G31" i="20"/>
  <c r="G33" i="20" s="1"/>
  <c r="G43" i="19"/>
  <c r="G45" i="19" s="1"/>
  <c r="O12" i="5"/>
  <c r="E79" i="43"/>
  <c r="G79" i="43" s="1"/>
  <c r="F47" i="43" s="1"/>
  <c r="G47" i="43" s="1"/>
  <c r="I18" i="5" s="1"/>
  <c r="I13" i="5"/>
  <c r="I7" i="5"/>
  <c r="O9" i="5"/>
  <c r="I11" i="5"/>
  <c r="G46" i="17"/>
  <c r="G48" i="17" s="1"/>
  <c r="O5" i="5"/>
  <c r="O23" i="5"/>
  <c r="O15" i="5"/>
  <c r="O21" i="5"/>
  <c r="K12" i="5"/>
  <c r="K9" i="5"/>
  <c r="K6" i="5"/>
  <c r="J15" i="5"/>
  <c r="P15" i="5" s="1"/>
  <c r="G34" i="15"/>
  <c r="G36" i="7"/>
  <c r="J6" i="5"/>
  <c r="P6" i="5" s="1"/>
  <c r="J21" i="5"/>
  <c r="P21" i="5" s="1"/>
  <c r="J19" i="5"/>
  <c r="P19" i="5" s="1"/>
  <c r="J5" i="5"/>
  <c r="P5" i="5" s="1"/>
  <c r="K23" i="5"/>
  <c r="J23" i="5"/>
  <c r="P23" i="5" s="1"/>
  <c r="N18" i="5" l="1"/>
  <c r="O24" i="5"/>
  <c r="J24" i="5"/>
  <c r="P24" i="5" s="1"/>
  <c r="O16" i="5"/>
  <c r="J16" i="5"/>
  <c r="P16" i="5" s="1"/>
  <c r="O14" i="5"/>
  <c r="J14" i="5"/>
  <c r="P14" i="5" s="1"/>
  <c r="O10" i="5"/>
  <c r="N25" i="5"/>
  <c r="O13" i="5"/>
  <c r="O11" i="5"/>
  <c r="J7" i="5"/>
  <c r="P7" i="5" s="1"/>
  <c r="K25" i="5"/>
  <c r="O18" i="5"/>
  <c r="O7" i="5"/>
  <c r="J13" i="5"/>
  <c r="P13" i="5" s="1"/>
  <c r="J11" i="5"/>
  <c r="P11" i="5" s="1"/>
  <c r="G49" i="43"/>
  <c r="G51" i="43" s="1"/>
  <c r="J18" i="5"/>
  <c r="P18" i="5" s="1"/>
  <c r="J12" i="5"/>
  <c r="P12" i="5" s="1"/>
  <c r="J9" i="5"/>
  <c r="P9" i="5" s="1"/>
  <c r="O25" i="5" l="1"/>
  <c r="P25" i="5"/>
  <c r="P28" i="5" l="1"/>
  <c r="P29" i="5" s="1"/>
  <c r="P27" i="5"/>
  <c r="P26" i="5" l="1"/>
  <c r="P30" i="5" s="1"/>
  <c r="P31" i="5" l="1"/>
  <c r="P34" i="5" l="1"/>
  <c r="P3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 paez</author>
  </authors>
  <commentList>
    <comment ref="C12" authorId="0" shapeId="0" xr:uid="{4476A480-5CF7-4743-9ED7-06387030AA16}">
      <text>
        <r>
          <rPr>
            <b/>
            <sz val="9"/>
            <color indexed="81"/>
            <rFont val="Tahoma"/>
            <family val="2"/>
          </rPr>
          <t>andrew paez:</t>
        </r>
        <r>
          <rPr>
            <sz val="9"/>
            <color indexed="81"/>
            <rFont val="Tahoma"/>
            <family val="2"/>
          </rPr>
          <t xml:space="preserve">
Los rendimientos incluyen tiempos de desplazamiento a las zonas</t>
        </r>
      </text>
    </comment>
  </commentList>
</comments>
</file>

<file path=xl/sharedStrings.xml><?xml version="1.0" encoding="utf-8"?>
<sst xmlns="http://schemas.openxmlformats.org/spreadsheetml/2006/main" count="2806" uniqueCount="1077">
  <si>
    <t>IMPLEMENTACIÓN DE SOLUCIONES ENERGÉTICAS SOSTENIBLES CON FUENTES NO CONVENCIONALES PARA LAS  COMUNIDADES RURALES DEL MUNICIPIO CARTAGENA DEL CHAIRÁ, DEPARTAMENTO DEL CAQUETÁ</t>
  </si>
  <si>
    <t>Usuarios  Cartagena de Chaira</t>
  </si>
  <si>
    <t>Tipo</t>
  </si>
  <si>
    <t>No. usuarios</t>
  </si>
  <si>
    <t>Salon Comunal</t>
  </si>
  <si>
    <t xml:space="preserve">Institucion Educativa </t>
  </si>
  <si>
    <t>Viviendas</t>
  </si>
  <si>
    <t>TOTAL</t>
  </si>
  <si>
    <t>Usuarios Cartagena de Chaira</t>
  </si>
  <si>
    <t>No. Paneles</t>
  </si>
  <si>
    <t>Total Paneles</t>
  </si>
  <si>
    <t>Capacidad bateria Ah</t>
  </si>
  <si>
    <t>Controlador (A)</t>
  </si>
  <si>
    <t>Inversor (W)</t>
  </si>
  <si>
    <t>12 de Octubre</t>
  </si>
  <si>
    <t>2000 y 3000</t>
  </si>
  <si>
    <t>Agua Linda</t>
  </si>
  <si>
    <t>Alto Arenoso</t>
  </si>
  <si>
    <t>Alto Bonito</t>
  </si>
  <si>
    <t>Andaki</t>
  </si>
  <si>
    <t>Arrayanes</t>
  </si>
  <si>
    <t>Banderas</t>
  </si>
  <si>
    <t>Barcelona</t>
  </si>
  <si>
    <t>Bellavista</t>
  </si>
  <si>
    <t>Billar</t>
  </si>
  <si>
    <t>Bocana del Anaya</t>
  </si>
  <si>
    <t>Camicaya</t>
  </si>
  <si>
    <t>Camicaya Alto</t>
  </si>
  <si>
    <t>Camicaya Medio</t>
  </si>
  <si>
    <t>Caño Gafas</t>
  </si>
  <si>
    <t>Comuneros</t>
  </si>
  <si>
    <t>Cumarales</t>
  </si>
  <si>
    <t>El Águila</t>
  </si>
  <si>
    <t>El Barro</t>
  </si>
  <si>
    <t>El Brillante</t>
  </si>
  <si>
    <t>El Café</t>
  </si>
  <si>
    <t>El Castillo</t>
  </si>
  <si>
    <t>El Diamante</t>
  </si>
  <si>
    <t>El Edén</t>
  </si>
  <si>
    <t>El Higuerón</t>
  </si>
  <si>
    <t>El Jardín</t>
  </si>
  <si>
    <t>El Paraíso</t>
  </si>
  <si>
    <t>El Peneya</t>
  </si>
  <si>
    <t>El Recreo</t>
  </si>
  <si>
    <t>El Remanso</t>
  </si>
  <si>
    <t>El Rubí</t>
  </si>
  <si>
    <t>Flandes</t>
  </si>
  <si>
    <t>Fundación</t>
  </si>
  <si>
    <t>Higueron</t>
  </si>
  <si>
    <t>Isla Redonda</t>
  </si>
  <si>
    <t>La Argentina</t>
  </si>
  <si>
    <t>La Espenza</t>
  </si>
  <si>
    <t>La Guadualosa</t>
  </si>
  <si>
    <t>La Holanda</t>
  </si>
  <si>
    <t>La Miranda</t>
  </si>
  <si>
    <t>La Nueva Ilusión</t>
  </si>
  <si>
    <t>La Nueva Pradera</t>
  </si>
  <si>
    <t>La Orquídea</t>
  </si>
  <si>
    <t>La Reforma</t>
  </si>
  <si>
    <t>La Tebaida</t>
  </si>
  <si>
    <t>La Tigrera</t>
  </si>
  <si>
    <t>La Unión</t>
  </si>
  <si>
    <t>La Uribe</t>
  </si>
  <si>
    <t>Laguna Del Chairá</t>
  </si>
  <si>
    <t>Laguna Verde</t>
  </si>
  <si>
    <t>Las Delicias</t>
  </si>
  <si>
    <t>Las Mercedes</t>
  </si>
  <si>
    <t>Las Palmeras del Suncillas</t>
  </si>
  <si>
    <t>Lejanías 1</t>
  </si>
  <si>
    <t>Llanitos</t>
  </si>
  <si>
    <t>Loma Larga</t>
  </si>
  <si>
    <t>Los Andes</t>
  </si>
  <si>
    <t>Los Ángeles</t>
  </si>
  <si>
    <t>Los Espejos</t>
  </si>
  <si>
    <t>Macarena</t>
  </si>
  <si>
    <t>Monte Adentro</t>
  </si>
  <si>
    <t>Nuevo Porvenir</t>
  </si>
  <si>
    <t>Nupias</t>
  </si>
  <si>
    <t>Patio Bonito</t>
  </si>
  <si>
    <t>Playa Verde</t>
  </si>
  <si>
    <t>Pores</t>
  </si>
  <si>
    <t>Porvenir 2</t>
  </si>
  <si>
    <t>Recreo Alto</t>
  </si>
  <si>
    <t>Río Claro</t>
  </si>
  <si>
    <t>Risaralda</t>
  </si>
  <si>
    <t>Robles</t>
  </si>
  <si>
    <t>Sardinata Baja</t>
  </si>
  <si>
    <t>Trinfo Alto</t>
  </si>
  <si>
    <t>Villa Colombia</t>
  </si>
  <si>
    <t>Villa Luz</t>
  </si>
  <si>
    <t>Villa Zelanda</t>
  </si>
  <si>
    <t>Vista Hermosa</t>
  </si>
  <si>
    <t>Yaicoge Bajo</t>
  </si>
  <si>
    <t>Nota: el inversor para las Instituciones Educativas es de 3000 W</t>
  </si>
  <si>
    <t>ESTA HOJA DEFINE LOS RENDIMIENTOS DE LAS DIFERENTES ACTIVIDADES Y ESTÁ ESTRECHAMIENTE LIGADO A LOS APUS</t>
  </si>
  <si>
    <t>REPLANTEO</t>
  </si>
  <si>
    <t>Defina los rendimientos del replanteo</t>
  </si>
  <si>
    <t>Descripción</t>
  </si>
  <si>
    <t xml:space="preserve">Unidad </t>
  </si>
  <si>
    <t>Rendimiento</t>
  </si>
  <si>
    <t>Usuarios levantados por día en el replanteo por persona</t>
  </si>
  <si>
    <t>Usuarios/día*persona</t>
  </si>
  <si>
    <t>Usuarios levantados por viaje a las veredas por persona</t>
  </si>
  <si>
    <t>Usuarios/viaje*persona</t>
  </si>
  <si>
    <t>INSTALACIÓN DE LOS SISFV</t>
  </si>
  <si>
    <t>Tiempo (días)</t>
  </si>
  <si>
    <t>Juego de estructuras con soportes instaladas por día</t>
  </si>
  <si>
    <t>Unidades/día</t>
  </si>
  <si>
    <t>Juego de 6 metros de excavacion</t>
  </si>
  <si>
    <t>Juego de paneles solares instaladas por día</t>
  </si>
  <si>
    <t>Juego de acometidas subterraneas por día</t>
  </si>
  <si>
    <t>Gabinetes instalados por día</t>
  </si>
  <si>
    <t>Reguladores instalados por día</t>
  </si>
  <si>
    <t>Inversores instalados por día</t>
  </si>
  <si>
    <t>Baterías instaladas por día</t>
  </si>
  <si>
    <t>Medidores prepago instalados por día</t>
  </si>
  <si>
    <t>Puestas a tierra instaladas por día</t>
  </si>
  <si>
    <t>Instalaciones internas instaladas por día</t>
  </si>
  <si>
    <t>TIEMPO TOTAL DE INSTALACIÓN SISFV (1 CUADRILLA)</t>
  </si>
  <si>
    <t>INSTALACIÓN DE LAS MICROREDES</t>
  </si>
  <si>
    <t>NANO 1</t>
  </si>
  <si>
    <t>NANO 2</t>
  </si>
  <si>
    <t>NANO 3</t>
  </si>
  <si>
    <t>MICRO 1</t>
  </si>
  <si>
    <t>MICRO 2</t>
  </si>
  <si>
    <t>MICRO 3</t>
  </si>
  <si>
    <t>Cantidad</t>
  </si>
  <si>
    <t>Tiempo total</t>
  </si>
  <si>
    <t>Paneles solares</t>
  </si>
  <si>
    <t>Acometida solar</t>
  </si>
  <si>
    <t>Caja combinadora FV</t>
  </si>
  <si>
    <t>Controlador MPPT</t>
  </si>
  <si>
    <t>Tablero principal en DC</t>
  </si>
  <si>
    <t>Banco de baterías</t>
  </si>
  <si>
    <t>Inversor</t>
  </si>
  <si>
    <t>Tablero de inversores</t>
  </si>
  <si>
    <t>Autotransformador</t>
  </si>
  <si>
    <t>Tablero de distribución principal en AC</t>
  </si>
  <si>
    <t>Canalizaciones internas del envolvente</t>
  </si>
  <si>
    <t>Global/día</t>
  </si>
  <si>
    <t>Sistema de monitoreo y comunicaciones</t>
  </si>
  <si>
    <t>Equipos auxiliares y de emergencia</t>
  </si>
  <si>
    <t>SPT Microred</t>
  </si>
  <si>
    <t>Acometida domiciliaria</t>
  </si>
  <si>
    <t>SPT Domiciliario</t>
  </si>
  <si>
    <t>Sistema de medición domiciliario</t>
  </si>
  <si>
    <t>Red de distribución</t>
  </si>
  <si>
    <t>m/dia</t>
  </si>
  <si>
    <t>Estación meteorologica</t>
  </si>
  <si>
    <t>Transmisión telemetria</t>
  </si>
  <si>
    <t>Servidores</t>
  </si>
  <si>
    <t>Excavacion manual</t>
  </si>
  <si>
    <t>m3/dia</t>
  </si>
  <si>
    <t>Relleno y compactación con material de sitio</t>
  </si>
  <si>
    <t>Cerramiento en malla eslabonada</t>
  </si>
  <si>
    <t>Concreto 2000 PSI</t>
  </si>
  <si>
    <t>Concreto 3000 PSI</t>
  </si>
  <si>
    <t>Acero de refuerzo 4200 kg</t>
  </si>
  <si>
    <t>kg/dia</t>
  </si>
  <si>
    <t>Envolvente</t>
  </si>
  <si>
    <t>Estructura soporte paneles</t>
  </si>
  <si>
    <t>TOTAL OBRAS ENVOLVENTE (SIN ENVOLVENTE)</t>
  </si>
  <si>
    <t>TOTAL REDES DE DISTRIBUCIÓN</t>
  </si>
  <si>
    <t>Estudio Mercado Equipo y Herramienta</t>
  </si>
  <si>
    <t>cod</t>
  </si>
  <si>
    <t>UNIDAD</t>
  </si>
  <si>
    <t>Tarifa / día</t>
  </si>
  <si>
    <t>Fuente</t>
  </si>
  <si>
    <t>Fecha</t>
  </si>
  <si>
    <t>Herramienta menor</t>
  </si>
  <si>
    <t>UN</t>
  </si>
  <si>
    <t>GPS</t>
  </si>
  <si>
    <t>Molde para soldadura</t>
  </si>
  <si>
    <t>Camara y comunicaciones</t>
  </si>
  <si>
    <t>DIA</t>
  </si>
  <si>
    <t>Herramienta para hoyar</t>
  </si>
  <si>
    <t>HORA</t>
  </si>
  <si>
    <t>Estudio Mercado Transporte</t>
  </si>
  <si>
    <t>cod,</t>
  </si>
  <si>
    <t>Tipo de Transporte2</t>
  </si>
  <si>
    <t>Origen</t>
  </si>
  <si>
    <t>Destino</t>
  </si>
  <si>
    <t>Valor / Persona</t>
  </si>
  <si>
    <t>Valor / Kg</t>
  </si>
  <si>
    <t>Pasajeros aéreo</t>
  </si>
  <si>
    <t>Bogotá</t>
  </si>
  <si>
    <t>Popaya</t>
  </si>
  <si>
    <t>Pasaje terrestre</t>
  </si>
  <si>
    <t>Cartagena del chaira</t>
  </si>
  <si>
    <t>Carga terrestre desde Bogota</t>
  </si>
  <si>
    <t>5.1</t>
  </si>
  <si>
    <t>Carga terrestre desde municipios a veredas</t>
  </si>
  <si>
    <t>Cabecera Urbana cartagena del chaira</t>
  </si>
  <si>
    <t>Veredas</t>
  </si>
  <si>
    <t>5.2</t>
  </si>
  <si>
    <t>Carga terrestre semoviente</t>
  </si>
  <si>
    <t>usuario</t>
  </si>
  <si>
    <t>5.3</t>
  </si>
  <si>
    <t>Carga Fluvial</t>
  </si>
  <si>
    <t>Carga terrestre desde Bogota hasta Usuario, incluye cargues, descargues, cruces de río, transporte semoviente, transporte fluvia, transporte en vehículo de carga pesada y liviano y cualquier otro tranposte.</t>
  </si>
  <si>
    <t xml:space="preserve">Carga Material Cantera hasta Veredas </t>
  </si>
  <si>
    <t>Cantera</t>
  </si>
  <si>
    <t>LISTADO DE TRANSPORTE</t>
  </si>
  <si>
    <t>#</t>
  </si>
  <si>
    <t>Código</t>
  </si>
  <si>
    <t>unidad</t>
  </si>
  <si>
    <t>Insumo</t>
  </si>
  <si>
    <t>Precio ($ COP)</t>
  </si>
  <si>
    <t>T0010400</t>
  </si>
  <si>
    <t>m3-km</t>
  </si>
  <si>
    <t>Transporte de agregados</t>
  </si>
  <si>
    <t>T0010004</t>
  </si>
  <si>
    <t>Transporte de arena</t>
  </si>
  <si>
    <t>T0010009</t>
  </si>
  <si>
    <t>Transporte de concreto</t>
  </si>
  <si>
    <t>T0010010</t>
  </si>
  <si>
    <t>Transporte de material de afirmado</t>
  </si>
  <si>
    <t>T0010020</t>
  </si>
  <si>
    <t>Transporte de material de base</t>
  </si>
  <si>
    <t>T0010062</t>
  </si>
  <si>
    <t>Transporte de material de relleno</t>
  </si>
  <si>
    <t>T0010030</t>
  </si>
  <si>
    <t>Transporte de material de sub-base</t>
  </si>
  <si>
    <t>PROMEDIO *(1+IPC)</t>
  </si>
  <si>
    <t>distancia a cantera</t>
  </si>
  <si>
    <t>Densidad promedio de material cantera</t>
  </si>
  <si>
    <t>valor de transporte kg</t>
  </si>
  <si>
    <t>distancia (Km)</t>
  </si>
  <si>
    <t>VALOR  M3-Km</t>
  </si>
  <si>
    <t>DISTANCIA PROMEDIO A VEREDAS DESDE CARTAGENA DEL CHAIRA</t>
  </si>
  <si>
    <t>Densidad promedio de m3</t>
  </si>
  <si>
    <t>500 kg/m3</t>
  </si>
  <si>
    <t xml:space="preserve">Valor Transporte por kg </t>
  </si>
  <si>
    <t>TRANSPORTE MULAR</t>
  </si>
  <si>
    <t xml:space="preserve"> Peso maximo que carga una mula (kg)</t>
  </si>
  <si>
    <t>VALOR DIA MULA</t>
  </si>
  <si>
    <t>Rendimiento diario de transporte mular (km/día)</t>
  </si>
  <si>
    <t>Costo Transporte en Mula por kg/km</t>
  </si>
  <si>
    <t xml:space="preserve">Distancia promedio transporte semoviente </t>
  </si>
  <si>
    <t>TRANSPORTE FLUVIAL</t>
  </si>
  <si>
    <t xml:space="preserve"> Peso maximo que carga una Canoa (kg)</t>
  </si>
  <si>
    <t>VALOR VIAJE</t>
  </si>
  <si>
    <t xml:space="preserve">kilomestros promedio recorridos por viaje </t>
  </si>
  <si>
    <t>Costo Transporte fluvial por kg/km</t>
  </si>
  <si>
    <t xml:space="preserve">Costo por kg para el promedio de distacia recorrida fluvialmente </t>
  </si>
  <si>
    <t>Distancia (km)</t>
  </si>
  <si>
    <t>se toma florencia Caqueta que esta en la ruta desde Bogota, y se adiciona un 15% mas para el restante del viaje</t>
  </si>
  <si>
    <t>carretera</t>
  </si>
  <si>
    <t>carretera usuarios</t>
  </si>
  <si>
    <t>fluvial</t>
  </si>
  <si>
    <t>66.7</t>
  </si>
  <si>
    <t xml:space="preserve"> Promedio</t>
  </si>
  <si>
    <t>Distancia promedio habilitada para tránsito en la vía</t>
  </si>
  <si>
    <t>Distancia promedio desde la vía hasta el usuario (transporte semoviente)</t>
  </si>
  <si>
    <t>Distancia promedio desde la vía hasta el usuario (transporte Fluvial)</t>
  </si>
  <si>
    <t>SMLV</t>
  </si>
  <si>
    <t>Auxilio de transporte</t>
  </si>
  <si>
    <t>Margen de valores</t>
  </si>
  <si>
    <t>Base días hábiles x mes</t>
  </si>
  <si>
    <t>Estudio Mercado Mano de Obra (+10% de margen)(auxilio de transporte)</t>
  </si>
  <si>
    <t>Cargo</t>
  </si>
  <si>
    <t>Categoría</t>
  </si>
  <si>
    <t>Valor mensual base</t>
  </si>
  <si>
    <t>Margen positivo</t>
  </si>
  <si>
    <t>Valor mensual proyectado 2026</t>
  </si>
  <si>
    <t>Valor Jornal</t>
  </si>
  <si>
    <t>&gt;SMMLV</t>
  </si>
  <si>
    <t>Electricista</t>
  </si>
  <si>
    <t>Obra</t>
  </si>
  <si>
    <t>Ayudante</t>
  </si>
  <si>
    <t>Topografo</t>
  </si>
  <si>
    <t>Oficial de obra</t>
  </si>
  <si>
    <t>Ingeniero de sistemas</t>
  </si>
  <si>
    <t>Oficina</t>
  </si>
  <si>
    <t>Director de Obra</t>
  </si>
  <si>
    <t>Ingeniero Residente</t>
  </si>
  <si>
    <t>Gerente</t>
  </si>
  <si>
    <t>Contador</t>
  </si>
  <si>
    <t>Asesor Jurídico</t>
  </si>
  <si>
    <t>Ingeniero Ambiental</t>
  </si>
  <si>
    <t>Profesional SGSST</t>
  </si>
  <si>
    <t>Ingeniero Civil</t>
  </si>
  <si>
    <t>Trabajador Social</t>
  </si>
  <si>
    <t>Servicios Generales</t>
  </si>
  <si>
    <t>Almacenista</t>
  </si>
  <si>
    <t>Seguridad privada</t>
  </si>
  <si>
    <t>Director de interventoría</t>
  </si>
  <si>
    <t>Profesional especialista en SISFV</t>
  </si>
  <si>
    <t>Supervisor de Obra</t>
  </si>
  <si>
    <t>obra</t>
  </si>
  <si>
    <t>Soldador</t>
  </si>
  <si>
    <t>FACTOR PRESTACIONAL</t>
  </si>
  <si>
    <t>A  -  DESCANSOS REMUNERADOS</t>
  </si>
  <si>
    <t xml:space="preserve">        1.  VACACIONES</t>
  </si>
  <si>
    <t xml:space="preserve">        TOTAL DESCANSOS REMUNERADOS</t>
  </si>
  <si>
    <t xml:space="preserve">B  -  PRESTACIONES LEGALES </t>
  </si>
  <si>
    <t xml:space="preserve">        1.  CESANTIAS</t>
  </si>
  <si>
    <t xml:space="preserve">        2.  INTERESES CESANTIAS</t>
  </si>
  <si>
    <t xml:space="preserve">        3.  PRIMA DE SERVICIOS</t>
  </si>
  <si>
    <t xml:space="preserve">        TOTAL PRESTACIONES LEGALES</t>
  </si>
  <si>
    <t>C  -  APORTES PATRONALES</t>
  </si>
  <si>
    <t xml:space="preserve">        1.  SALUD</t>
  </si>
  <si>
    <t xml:space="preserve">        2.  PENSIÓN</t>
  </si>
  <si>
    <t xml:space="preserve">        3.  RIESGOS PROFESIONALES (NIVEL IV)</t>
  </si>
  <si>
    <t xml:space="preserve">        4.  CAJA DE COMPENSACIÓN</t>
  </si>
  <si>
    <t xml:space="preserve">        TOTAL APORTES PATRONALES</t>
  </si>
  <si>
    <t>D  -  OTROS COSTOS PRESTACIONALES</t>
  </si>
  <si>
    <t xml:space="preserve">        1.  DOTACION</t>
  </si>
  <si>
    <t xml:space="preserve">        2.  OTROS (SEGURO, AUXILIOS, INCAPACIDADES)</t>
  </si>
  <si>
    <t xml:space="preserve">        TOTAL OTROS COSTOS PRESTACIONALES</t>
  </si>
  <si>
    <t>E  -  FACTOR PRESTACIONAL</t>
  </si>
  <si>
    <t xml:space="preserve">        1.  JORNAL</t>
  </si>
  <si>
    <t xml:space="preserve">        2.  DESCANSOS REMUNERADOS</t>
  </si>
  <si>
    <t xml:space="preserve">        3.  PRESTACIONES LEGALES</t>
  </si>
  <si>
    <t xml:space="preserve">        4.  APORTES PATRONALES</t>
  </si>
  <si>
    <t xml:space="preserve">        5.  OTROS COSTOS PRESTACIONALES</t>
  </si>
  <si>
    <t xml:space="preserve">        FACTOR PRESTACIONAL</t>
  </si>
  <si>
    <t>ENSAYOS (COSTOS DIRECTOS)</t>
  </si>
  <si>
    <t>Rotura X compresión de cilindros (Por norma una muestra(8 cil.) cada 40,0 m³ o una por día si es menor cantidad)</t>
  </si>
  <si>
    <t>Ensayo de compactación Proctor (Estandard y Modificado)</t>
  </si>
  <si>
    <t>Granulometría de suelos, por tamizado, con lavado</t>
  </si>
  <si>
    <t>Apique en material granular, por ml de 0 m a 1,0 m  de 70x70</t>
  </si>
  <si>
    <t>Límites de Atterberg, líquido y plástico</t>
  </si>
  <si>
    <t>Peso Unitario  en el terreno por el método de cono y arena</t>
  </si>
  <si>
    <t>Diseño de una mezcla de hormigón para una resistencia dada</t>
  </si>
  <si>
    <t>Extracción y falla de nucleos de concreto</t>
  </si>
  <si>
    <t>Ensayo de diámetro efectivo en barras corrugadas</t>
  </si>
  <si>
    <t>Contenido de asfalto</t>
  </si>
  <si>
    <t>Coliformes Fecales</t>
  </si>
  <si>
    <t>Detección de Cloro Residual</t>
  </si>
  <si>
    <t xml:space="preserve">CBR sobre material granular ( Método 1 )                                </t>
  </si>
  <si>
    <t>Prueba de integridad de pilotes</t>
  </si>
  <si>
    <t>Análisis A. Residuales</t>
  </si>
  <si>
    <t>PODRA AJUSTAR EL VR. SEGÚN EL OBJETO A CONTRATAR</t>
  </si>
  <si>
    <t>ENSAYOS</t>
  </si>
  <si>
    <t>Actualizado 2025</t>
  </si>
  <si>
    <t>$ año 2007</t>
  </si>
  <si>
    <t>AÑO 2009 (IPC 2007 Y 2008 13,80%)</t>
  </si>
  <si>
    <t>AÑO 2011</t>
  </si>
  <si>
    <t>AÑO 2012</t>
  </si>
  <si>
    <t>AÑO 2013</t>
  </si>
  <si>
    <t>AÑO 2014</t>
  </si>
  <si>
    <t>AÑO 2015</t>
  </si>
  <si>
    <t>AÑO 2016</t>
  </si>
  <si>
    <t>AÑO 2017</t>
  </si>
  <si>
    <t>AÑO 2018</t>
  </si>
  <si>
    <t>AÑO 2019</t>
  </si>
  <si>
    <t>AÑO 2020</t>
  </si>
  <si>
    <t>AÑO 2021</t>
  </si>
  <si>
    <t>AÑO 2022</t>
  </si>
  <si>
    <t>AÑO 2023</t>
  </si>
  <si>
    <t>AÑO 2024</t>
  </si>
  <si>
    <t>AÑO 2025</t>
  </si>
  <si>
    <t>Rotura por compresión en ladrillos y adoquines</t>
  </si>
  <si>
    <t>Módulo de rotura en vigas, con carga en los tercios</t>
  </si>
  <si>
    <t>Ensayo con esclerómetro, por elemento</t>
  </si>
  <si>
    <t>Ensayo de consolidación lenta con descarga</t>
  </si>
  <si>
    <t>Coliformes Totales</t>
  </si>
  <si>
    <t>un</t>
  </si>
  <si>
    <t>IMPLEMENTACIÓN DE SOLUCIONES ENERGÉTICAS SOSTENIBLES CON FUENTES NO CONVENCIONALES, PARA LAS COMUNIDADES RURALES DEL MUNICIPIO DE CARTAGENA DEL CHAIRÁ, DEPARTAMENTO DE CAQUETÁ</t>
  </si>
  <si>
    <t>IMPLEMENTACIÓN PLAN DE GESTIÓN SOCIAL</t>
  </si>
  <si>
    <t>MATERIALES</t>
  </si>
  <si>
    <t>USUARIOS</t>
  </si>
  <si>
    <t>Ítem</t>
  </si>
  <si>
    <t>Unidad</t>
  </si>
  <si>
    <t>Vr. Unitario</t>
  </si>
  <si>
    <t>Vr. Parcial</t>
  </si>
  <si>
    <t>valor general de la actividad</t>
  </si>
  <si>
    <t xml:space="preserve">Programa - Control social / Participación ciudadana  </t>
  </si>
  <si>
    <r>
      <t xml:space="preserve">Convocatoria  masivas a cada una de las veredas. (El plan será utilizado a lo largo de las convocatorias que requiera el proyecto).
</t>
    </r>
    <r>
      <rPr>
        <b/>
        <sz val="11"/>
        <color theme="1"/>
        <rFont val="Calibri"/>
        <family val="2"/>
        <scheme val="minor"/>
      </rPr>
      <t>*Nota:</t>
    </r>
    <r>
      <rPr>
        <sz val="11"/>
        <color theme="1"/>
        <rFont val="Calibri"/>
        <family val="2"/>
        <scheme val="minor"/>
      </rPr>
      <t xml:space="preserve"> la convocatoria se deberá realizar para la totalidad de actividades del programa </t>
    </r>
    <r>
      <rPr>
        <i/>
        <sz val="11"/>
        <color theme="1"/>
        <rFont val="Calibri"/>
        <family val="2"/>
        <scheme val="minor"/>
      </rPr>
      <t xml:space="preserve"> Control social / Participación ciudadana</t>
    </r>
    <r>
      <rPr>
        <sz val="11"/>
        <color theme="1"/>
        <rFont val="Calibri"/>
        <family val="2"/>
        <scheme val="minor"/>
      </rPr>
      <t xml:space="preserve">  y </t>
    </r>
    <r>
      <rPr>
        <i/>
        <sz val="11"/>
        <color theme="1"/>
        <rFont val="Calibri"/>
        <family val="2"/>
        <scheme val="minor"/>
      </rPr>
      <t xml:space="preserve">capacitaciones transversales, </t>
    </r>
    <r>
      <rPr>
        <sz val="11"/>
        <color theme="1"/>
        <rFont val="Calibri"/>
        <family val="2"/>
        <scheme val="minor"/>
      </rPr>
      <t>de acuerdo con el cronograma definido.</t>
    </r>
  </si>
  <si>
    <t xml:space="preserve">Mes </t>
  </si>
  <si>
    <t xml:space="preserve">Convocatoria por medios interpersonales: persona para recorrer cada una de las veredas que contempla  el municipio. </t>
  </si>
  <si>
    <t>Día</t>
  </si>
  <si>
    <r>
      <t xml:space="preserve">Gastos de transporte de los profesionales que realizarán las diferentes capacitaciones y/o talleres.
</t>
    </r>
    <r>
      <rPr>
        <b/>
        <sz val="11"/>
        <color rgb="FF000000"/>
        <rFont val="Calibri"/>
        <family val="2"/>
        <scheme val="minor"/>
      </rPr>
      <t>*Nota:</t>
    </r>
    <r>
      <rPr>
        <sz val="11"/>
        <color rgb="FF000000"/>
        <rFont val="Calibri"/>
        <family val="2"/>
        <scheme val="minor"/>
      </rPr>
      <t xml:space="preserve"> los valores están contemplados dentro del presupuesto general.</t>
    </r>
  </si>
  <si>
    <t>Ida y regreso</t>
  </si>
  <si>
    <r>
      <t xml:space="preserve">Gastos de honorarios de  los profesionales que realizarán las diferentes capacitaciones y/o talleres.
</t>
    </r>
    <r>
      <rPr>
        <b/>
        <sz val="11"/>
        <color theme="1"/>
        <rFont val="Calibri"/>
        <family val="2"/>
        <scheme val="minor"/>
      </rPr>
      <t>*Nota:</t>
    </r>
    <r>
      <rPr>
        <sz val="11"/>
        <color theme="1"/>
        <rFont val="Calibri"/>
        <family val="2"/>
        <scheme val="minor"/>
      </rPr>
      <t xml:space="preserve"> los valores están contemplados dentro del presupuesto general.</t>
    </r>
  </si>
  <si>
    <t>Actividad 1: Socialización inicial del proyecto:</t>
  </si>
  <si>
    <r>
      <t xml:space="preserve">Refrigerios para la jornada de socialización se estima la asistencia de:  representantes  por ente territorial (02), representantes del operador de red (02),  representantes de los entes de control (02),   representantes de JAC (02),  y representatividad del 50% de los usuarios (377).
</t>
    </r>
    <r>
      <rPr>
        <b/>
        <sz val="11"/>
        <color theme="1"/>
        <rFont val="Calibri"/>
        <family val="2"/>
        <scheme val="minor"/>
      </rPr>
      <t>*Nota:</t>
    </r>
    <r>
      <rPr>
        <sz val="11"/>
        <color theme="1"/>
        <rFont val="Calibri"/>
        <family val="2"/>
        <scheme val="minor"/>
      </rPr>
      <t xml:space="preserve"> todos los  refrigerios mencionados en las diferentes actividades de programa 1 y 2, deberá contener como mínimo cuatro productos: 1líquido, 2 alimentos sólidos de sal y 1alimento solido de azúcar.</t>
    </r>
  </si>
  <si>
    <t>Und</t>
  </si>
  <si>
    <t>Alquiler mobiliario sillas y mesas, internet satelital, planta, sonido, computador, ventilador y  video Beam, para el desarrollo de la socialización en comunidad.</t>
  </si>
  <si>
    <t>Gastos de transporte para las comunidades: se estima la asistencia del 50% de los usuarios (377).</t>
  </si>
  <si>
    <t>Día  (ida y vuelta)</t>
  </si>
  <si>
    <t>Pendón de presentación  IPSE, MME.</t>
  </si>
  <si>
    <t xml:space="preserve">Und </t>
  </si>
  <si>
    <t>Punto ecológico (Para disposición  de materiales de desechos de las actividades del programa  Control social / Participación ciudadana  y capacitaciones transversales).</t>
  </si>
  <si>
    <t>Actividad 2: Conformación del Comité de Acompañamiento Comunitario  (CAC) - Capacitación</t>
  </si>
  <si>
    <t>Refrigerios y almuerzo (estos gastos solo es para los miembros del CAC, se estima un promedio de representatividad de 21 personas.</t>
  </si>
  <si>
    <t>Gastos de transporte para los integrantes del CAC para desplazarse al casco urbanos a inscribir el CAC y ser capacitados por personería municipal, (se estima un promedio de 21 personas que estarán un día realizando estas actividades)</t>
  </si>
  <si>
    <t>Actividad 3: Reunión de seguimiento (Se propone mínimo 1 en la ejecución del contrato)</t>
  </si>
  <si>
    <t xml:space="preserve">Persona que acompaña al profesional que presentará los avances del contrato, en los desplazamientos que se realicen por cada vereda. </t>
  </si>
  <si>
    <r>
      <t xml:space="preserve">Gastos de transporte y honorarios de los profesionales que presentarán la reunión de seguimiento.
</t>
    </r>
    <r>
      <rPr>
        <b/>
        <sz val="11"/>
        <color rgb="FF000000"/>
        <rFont val="Calibri"/>
        <family val="2"/>
        <scheme val="minor"/>
      </rPr>
      <t>*Nota:</t>
    </r>
    <r>
      <rPr>
        <sz val="11"/>
        <color rgb="FF000000"/>
        <rFont val="Calibri"/>
        <family val="2"/>
        <scheme val="minor"/>
      </rPr>
      <t xml:space="preserve"> los valores están contemplados dentro del presupuesto general.</t>
    </r>
  </si>
  <si>
    <t>Actividad 4: Evento de entrega formal de la solución energética, feria comercial, productiva, muestra cultural o gastronómica</t>
  </si>
  <si>
    <t>Refrigerios para la jornada de socialización se estima la asistencia de:  representantes  por ente territorial (02), representantes del operador de red (02),  representantes de los entes de control (02),   representantes de JAC (02),  y representatividad del 50% de los usuarios (377).</t>
  </si>
  <si>
    <t>Gastos de transporte para los asistentes externos de la comunidad.</t>
  </si>
  <si>
    <t>Alquiler mobiliario sillas y mesas, internet satelital, planta, sonido, computador, ventilador,  video Beam  y transmisión streaming, para desarrollo del espacio en la misma comunidad.</t>
  </si>
  <si>
    <r>
      <t xml:space="preserve">Gastos de transporte y honorarios de los profesionales que harán la entrega formal del proyecto en el evento final.
</t>
    </r>
    <r>
      <rPr>
        <b/>
        <sz val="11"/>
        <color rgb="FF000000"/>
        <rFont val="Calibri"/>
        <family val="2"/>
        <scheme val="minor"/>
      </rPr>
      <t>*Nota:</t>
    </r>
    <r>
      <rPr>
        <sz val="11"/>
        <color rgb="FF000000"/>
        <rFont val="Calibri"/>
        <family val="2"/>
        <scheme val="minor"/>
      </rPr>
      <t xml:space="preserve"> los valores están contemplados dentro del presupuesto general.</t>
    </r>
  </si>
  <si>
    <t>Programa -  Capacitaciones transversales</t>
  </si>
  <si>
    <t>Personal local que acompaña al profesional que presentará  los avances del contrato, en los desplazamientos que se realicen por cada vereda.</t>
  </si>
  <si>
    <t xml:space="preserve"> Actividad 1. Capacitaciones por grupos poblacionales: </t>
  </si>
  <si>
    <t>Mujeres, paz y energía</t>
  </si>
  <si>
    <t xml:space="preserve">Refrigerios: se estima asistencia de dos mujeres por cada infraestructura beneficiada.
Duración: 1 semana </t>
  </si>
  <si>
    <t>Profesional experta en temas de género.</t>
  </si>
  <si>
    <t>Semana</t>
  </si>
  <si>
    <t>Gastos de materiales (resma, colores, esferos, papel periódico, cartulina, cinta, marcadores  y fichas bibliográficas)</t>
  </si>
  <si>
    <t>Centinelas de la energía</t>
  </si>
  <si>
    <t>Refrigerios: se estima asistencia de dos niños, niñas, adolescente o  joven  por vivienda a beneficiar.
Duración: 3 días</t>
  </si>
  <si>
    <t>Cartillas centinelas de la energía</t>
  </si>
  <si>
    <t>Gastos de materiales didácticos para muestra física.</t>
  </si>
  <si>
    <t>Proyectos productivos y/o emprendimientos con el uso eficiente de la energía</t>
  </si>
  <si>
    <t>Refrigerios: se estima asistencia de una persona por usuario beneficiado. 
Duración: 1 semana</t>
  </si>
  <si>
    <t>Profesional experto en proyectos productivos yo/ emprendimientos.</t>
  </si>
  <si>
    <t>Gastos de materiales didácticos para la capacitación.</t>
  </si>
  <si>
    <t>Actividad 2: Sostenibilidad y apropiación de la infraestructura (Educación y sensibilización ambiental, uso racional de la energía y cultura de pago y manual de operaciones básicas)</t>
  </si>
  <si>
    <t>Refrigerios: se estima asistencia de una persona por usuario beneficiado y dos representantes de ASOJUNTAS.
Duración: 1 semana</t>
  </si>
  <si>
    <t>Acrílicos (contiene información de manejo de las soluciones individuales medidas: 20x30 cm).</t>
  </si>
  <si>
    <t>Impresión a escala de la solución energética concentrada.</t>
  </si>
  <si>
    <t xml:space="preserve">Actividad 3: Escuela de Formación para la Transición Energética Justa –Escuela TEJ </t>
  </si>
  <si>
    <t>Momento 1 - Diálogo social e inicio montaje solución energética</t>
  </si>
  <si>
    <t>Materiales  (Papel periódico, marcadores borrables, hojas blancas, cartulina, colores, dado, cinta, post-its, pinceles, alambre, esferos, fichas bibliográficas,  etc)</t>
  </si>
  <si>
    <t>Plotter con esquema de la cadena de la energía.</t>
  </si>
  <si>
    <t>Tarjetones con los momentos de la cadena de la energía.(Producción, Transformación,
Transmisión, Distribución y Comercialización)</t>
  </si>
  <si>
    <t>Placa de madera, arcilla u otro material</t>
  </si>
  <si>
    <t>Temperas en aceite.</t>
  </si>
  <si>
    <t>Trjetones con preguntas problematizadoras</t>
  </si>
  <si>
    <t>Caja soluciones: Piezas gráficas con la norma</t>
  </si>
  <si>
    <t>Momento 2 - Diálogo social de monitoreo y sostenibilidad</t>
  </si>
  <si>
    <t>Gastos de papelería</t>
  </si>
  <si>
    <t>Imagen de referencia de rompecabezas, tamaño 1/2 pliego.</t>
  </si>
  <si>
    <t>Ploter Pacto por la JET</t>
  </si>
  <si>
    <t>VALOR POR USUARIO</t>
  </si>
  <si>
    <t>“IMPLEMENTACIÓN DE SOLUCIONES ENERGÉTICAS CON FUENTES NO CONVENCIONALES DE ENERGÍA PARA USUARIOS EN ZONAS RURALES DEL MUNICIPIO DE CARTAGENA DEL CHAIRÁ EN EL DEPARTAMENTO DE CAQUETÁ”</t>
  </si>
  <si>
    <t>IMPLEMENTACIÓN PLAN DE MANEJO AMBIENTAL</t>
  </si>
  <si>
    <t>Manejo y disposición final de residuos RESPEL Y RAEE´s</t>
  </si>
  <si>
    <t>Recipiente o Caneca</t>
  </si>
  <si>
    <t>UND</t>
  </si>
  <si>
    <t>Bolsas para los puntos ecológicos portátiles (50)</t>
  </si>
  <si>
    <t>PQT</t>
  </si>
  <si>
    <t>Manilas de amarre</t>
  </si>
  <si>
    <t>Estibas con dique para bodegaje</t>
  </si>
  <si>
    <t xml:space="preserve">Señalización sitios de almacenamiento y manejo de residuos </t>
  </si>
  <si>
    <t>Kit de derrames para respel</t>
  </si>
  <si>
    <t xml:space="preserve">Etiquetado Respel </t>
  </si>
  <si>
    <t xml:space="preserve">Disposición final de residuos RESPEL Y RAEE´s </t>
  </si>
  <si>
    <t>$/kg</t>
  </si>
  <si>
    <t xml:space="preserve">Transporte de residuos RESPEL Y RAEE´s </t>
  </si>
  <si>
    <t>Viaje</t>
  </si>
  <si>
    <t xml:space="preserve">Profesional ambiental </t>
  </si>
  <si>
    <t>Incluido en el AIU del proyecto</t>
  </si>
  <si>
    <t>Ayudante ambiental (orden y aseo)</t>
  </si>
  <si>
    <t xml:space="preserve"> Manejo De Residuos Sólidos Ordinarios </t>
  </si>
  <si>
    <t xml:space="preserve">Cinta de señalización </t>
  </si>
  <si>
    <t>ROLLO</t>
  </si>
  <si>
    <t>Punto ecológico (recipiente o caneca)</t>
  </si>
  <si>
    <t>Implementos cuadrilla de aseo</t>
  </si>
  <si>
    <t xml:space="preserve">Transporte de residuos convencionales </t>
  </si>
  <si>
    <t>DÍAS</t>
  </si>
  <si>
    <t>Programa: Señalización frentes de obra</t>
  </si>
  <si>
    <t xml:space="preserve">Cinta de señalizacion </t>
  </si>
  <si>
    <t>Selalizadores tubulares</t>
  </si>
  <si>
    <t>Paletas de señalización</t>
  </si>
  <si>
    <t>Lona negra o verde</t>
  </si>
  <si>
    <t>METROS</t>
  </si>
  <si>
    <t xml:space="preserve">Avisos  </t>
  </si>
  <si>
    <t>Profesional HSQE</t>
  </si>
  <si>
    <t xml:space="preserve">Ayudante </t>
  </si>
  <si>
    <t>gl</t>
  </si>
  <si>
    <t>MEMORIA DE CANTIDADES CIVILES</t>
  </si>
  <si>
    <t>SISTEMA INDIVIDUAL SOLAR FOTOVOLTAICO (3 PANELES)</t>
  </si>
  <si>
    <t xml:space="preserve">Excavación </t>
  </si>
  <si>
    <t>B (m)=</t>
  </si>
  <si>
    <t>H (m)=</t>
  </si>
  <si>
    <r>
      <t>Vol. (m</t>
    </r>
    <r>
      <rPr>
        <i/>
        <vertAlign val="superscript"/>
        <sz val="10"/>
        <rFont val="Arial"/>
        <family val="2"/>
      </rPr>
      <t>3</t>
    </r>
    <r>
      <rPr>
        <i/>
        <sz val="10"/>
        <rFont val="Arial"/>
        <family val="2"/>
      </rPr>
      <t>)=</t>
    </r>
  </si>
  <si>
    <t>solado</t>
  </si>
  <si>
    <t>Cemento (kg)=</t>
  </si>
  <si>
    <t>*Dosificación de concreto 16 MPa</t>
  </si>
  <si>
    <r>
      <t>Agregado fino (m</t>
    </r>
    <r>
      <rPr>
        <vertAlign val="superscript"/>
        <sz val="9"/>
        <rFont val="Arial"/>
        <family val="2"/>
      </rPr>
      <t>3</t>
    </r>
    <r>
      <rPr>
        <sz val="9"/>
        <rFont val="Arial"/>
        <family val="2"/>
      </rPr>
      <t>)=</t>
    </r>
  </si>
  <si>
    <r>
      <t>Agregado grueso (m</t>
    </r>
    <r>
      <rPr>
        <vertAlign val="superscript"/>
        <sz val="9"/>
        <rFont val="Arial"/>
        <family val="2"/>
      </rPr>
      <t>3</t>
    </r>
    <r>
      <rPr>
        <sz val="9"/>
        <rFont val="Arial"/>
        <family val="2"/>
      </rPr>
      <t>)=</t>
    </r>
  </si>
  <si>
    <t>Agua (L)=</t>
  </si>
  <si>
    <t>Cimentación</t>
  </si>
  <si>
    <t>Total</t>
  </si>
  <si>
    <t>*Dosificación de concreto 21 MPa</t>
  </si>
  <si>
    <t>Refuerzo</t>
  </si>
  <si>
    <t>Diametro</t>
  </si>
  <si>
    <t>Peso</t>
  </si>
  <si>
    <t>Malla electrosoldada 150 * 150 *6 mm</t>
  </si>
  <si>
    <t>Area</t>
  </si>
  <si>
    <t xml:space="preserve">total agregados </t>
  </si>
  <si>
    <t xml:space="preserve">Estructura de soporte </t>
  </si>
  <si>
    <t>L (m)=</t>
  </si>
  <si>
    <t>Ángulo galvanizado 2” X 2” X 1/4 
ASTM A572, Gr. 50</t>
  </si>
  <si>
    <t>Ángulo galvanizado 1 ½” X 1 ½” X 1/8” 
ASTM A572, Gr. 50</t>
  </si>
  <si>
    <t>Ángulo galvanizado 2 ½” X 2 ½” X 1/4”
ASTM A572, Gr. 50</t>
  </si>
  <si>
    <t>Platina galvanizada 200x50, e=1/4"
ASTM A36, Fy=250 MPa</t>
  </si>
  <si>
    <t>Platina galvanizada 300x300, e=9,53mm
ASTM A36, Fy=250 MPa</t>
  </si>
  <si>
    <t>Pernos Galvanizados ASTM A325 de 3/8" , L 8"</t>
  </si>
  <si>
    <t>Pernos Galvanizados ASTM A325 de ½” x 1 ½”</t>
  </si>
  <si>
    <t>ITEM</t>
  </si>
  <si>
    <t>DESCRIPCION</t>
  </si>
  <si>
    <t>CANTIDAD</t>
  </si>
  <si>
    <t>VALOR UNITARIO</t>
  </si>
  <si>
    <t>VALOR PARCIAL</t>
  </si>
  <si>
    <t>EQ. &amp; HERRAM.</t>
  </si>
  <si>
    <t>TRANSPORTE</t>
  </si>
  <si>
    <t>MOC</t>
  </si>
  <si>
    <t>MONC</t>
  </si>
  <si>
    <t>VR. UNITARIO</t>
  </si>
  <si>
    <t>VR. PARCIAL</t>
  </si>
  <si>
    <t>Implementar y poner en funcionamiento equipos para la operación fotovoltaica</t>
  </si>
  <si>
    <t>ADMINISTRACIÓN</t>
  </si>
  <si>
    <t>IMPREVISTOS</t>
  </si>
  <si>
    <t>UTILIDAD</t>
  </si>
  <si>
    <t>IVA DE UTILIDAD</t>
  </si>
  <si>
    <t>TOTAL COSTOS INDIRECTOS (AIU)</t>
  </si>
  <si>
    <t>VALOR CONSTRUCCIÓN (COSTOS DIRECTOS +  COSTOS INDIRECTOS)</t>
  </si>
  <si>
    <t>IMPLEMENTAR PLAN DE MANEJO AMBIENTAL (% CON RESPECTO A LOS COSTOS DIRECTOS)</t>
  </si>
  <si>
    <t>No. USUARIOS</t>
  </si>
  <si>
    <t>VALOR COSTO / USUARIO</t>
  </si>
  <si>
    <t>1.1</t>
  </si>
  <si>
    <t>Realizar Replanteo de obra</t>
  </si>
  <si>
    <t>1.2</t>
  </si>
  <si>
    <t>Suministro, transporte e instalación de Panel Solar de 670 W Mono PERC ( 3 unidades) incluido en TIER-1 incluye, cable solar XLPE 6mm2, par de conectores MC4 y caja de conexión IP68 con diodos de paso con las siguientes características: ƞ ≥ 20%; tolerancia +3% condiciones STC. Garantía de producción a 12 años ≥ 90% y ≥ 80% a 25 años, temperatura de trabajo de -40ºC +80ºC, IEC61205. Certificación de conformidad de producto RETIE</t>
  </si>
  <si>
    <t>1.3</t>
  </si>
  <si>
    <t>Acometida principal eléctrica subterránea TIPO I desde los módulos solares hasta el gabinete de diseño especial. Incluye: Hasta 6 m de tubería PVC de 3/4" inmersa dentro del tubo de soporte del panel y subterránea, hasta 2 m de tubería IMC de 3/4" a la vista hasta llegar al gabinete, 2 curvas PVC de 3/4", 2 terminales para tubo IMC de 3/4", 2 curvas galvanizada IMC de 3/4" y hasta 16 m de cable 10 AWG XLPE, 7 m de cable de cobre color verde No. 6 AWG THHN y accesorios de conexión.</t>
  </si>
  <si>
    <t>1.4</t>
  </si>
  <si>
    <t>Acometida principal eléctrica subterránea TIPO II desde los módulos solares hasta el gabinete de diseño especial. Incluye: Hasta 6 m de tubería PVC de 3/4" inmersa dentro del tubo de soporte del panel y subterránea, hasta 2 m de tubería IMC de 3/4" a la vista hasta llegar al gabinete, 2 curvas PVC de 3/4", 2 terminales para tubo IMC de 3/4", 2 curvas galvanizada IMC de 3/4" y hasta 16 m de cable 10 AWG XLPE, 7 m de cable de cobre color verde No. 2 AWG THHN y accesorios de conexión.</t>
  </si>
  <si>
    <t>1.5</t>
  </si>
  <si>
    <t xml:space="preserve">Suministro e instalación de gabinete Instalacion Tipo I autosoportado en lámina galvanizada de 598 mm de ancho x 840 mm de alto x 460 mm de fondo en lámina CR calibre 18, con pintura electrostática gris rall 70-32,  accesorios, conexionado, cableado, canalización, fijación y protecciones eléctricas incluye DPS de BT, para el alojamiento de equipos y accesorios, tipo interior.
Todas las puertas deberán abrir únicamente en sentido lateral mínimo 120° respecto a la sección horizontal superior del armario, deben poseer una agarradera que facilite su accionamiento y las bisagras deben ser galvanizadas, cromadas, niqueladas o en acero inoxidable, bronce o aluminio suficientemente fuertes para asegurar rígidamente la puerta de la estructura e instaladas sin que pierdan el recubrimiento protector IP 33.
El encerramiento metálico deberá estar debidamente marcado y cumplir con los requerimientos mínimos de seguridad definidos por el RETIE numeral 20.23. </t>
  </si>
  <si>
    <t>1.6</t>
  </si>
  <si>
    <t xml:space="preserve">Suministro e instalación de gabinete Instalacion Tipo II autosoportado en lámina galvanizada de 598 mm de ancho x 840 mm de alto x 460 mm de fondo en lámina CR calibre 18, con pintura electrostática gris rall 70-32,  accesorios, conexionado, cableado, canalización, fijación y protecciones eléctricas incluye DPS de BT, para el alojamiento de equipos y accesorios, tipo interior.
Todas las puertas deberán abrir únicamente en sentido lateral mínimo 120° respecto a la sección horizontal superior del armario, deben poseer una agarradera que facilite su accionamiento y las bisagras deben ser galvanizadas, cromadas, niqueladas o en acero inoxidable, bronce o aluminio suficientemente fuertes para asegurar rígidamente la puerta de la estructura e instaladas sin que pierdan el recubrimiento protector IP 33.
El encerramiento metálico deberá estar debidamente marcado y cumplir con los requerimientos mínimos de seguridad definidos por el RETIE numeral 20.23. </t>
  </si>
  <si>
    <t>1.7</t>
  </si>
  <si>
    <t>Suministro e instalación de regulador (controlador) de carga, 50A/48V MPPT Solar, eficiencia mínima del 96%, debe ser apto para cargar baterías tipo LiFePO4. Con todas las protecciones eléctricas necesarias en caso de sobrecarga, cortocircuito, advertencia de alto voltaje</t>
  </si>
  <si>
    <t>1.8</t>
  </si>
  <si>
    <t xml:space="preserve">Suministro e Instalación de batería de ión - litio tipo fosfato de hierro (LiFePO4) de ciclo profundo de 120 Ah – 51.2 VDC - ≥6000 ciclos hasta el 80% DOD, con BMS integrado </t>
  </si>
  <si>
    <t>1.9</t>
  </si>
  <si>
    <t>Suministro e instalación de inversor tipo "off-grid" onda senoidal pura, potencia de 2000 W, 48 VDC entrada - 120 VAC salida, f=60 Hz, debe garantizar protección y desconexión por bajo voltaje en la batería, protección contra sobrecarga</t>
  </si>
  <si>
    <t>1.10</t>
  </si>
  <si>
    <t>Suministro e instalación de inversor tipo "off-grid" onda senoidal pura, potencia de 3000 W, 48 VDC entrada - 120 VAC salida, f=60 Hz, debe garantizar protección y desconexión por bajo voltaje en la batería, protección contra sobrecarga</t>
  </si>
  <si>
    <t>1.11</t>
  </si>
  <si>
    <t>Sistema de puesta a tierra  Instalacion Tipo I con una varilla de cobre 5/8" x 2,4m, bajante en cable de cobre desnudo temple duro o verde Nº 6, con soldadura exotérmica y tratamiento de suelos, caja de inspección de 30 x 30 cm.</t>
  </si>
  <si>
    <t>1.12</t>
  </si>
  <si>
    <t>Sistema de puesta a tierra  Instalacion Tipo II con una varilla de cobre 5/8" x 2,4m, bajante en cable de cobre desnudo temple duro o verde Nº 2, con soldadura exotérmica y tratamiento de suelos, caja de inspección de 30 x 30 cm.</t>
  </si>
  <si>
    <t>Estructura de soporte para paneles solares</t>
  </si>
  <si>
    <t>2.1</t>
  </si>
  <si>
    <t>Suministro e instalación de poste reforzado en fibra de vidrio de h=4m, 510kgf. contiene: tapa en la cima y base, soporte metálico galvanizado fijo para 3 paneles solares y cimentación en concreto reforzado según diseño (incluye excavacion),</t>
  </si>
  <si>
    <t>2.2</t>
  </si>
  <si>
    <t>Excavación de zanja para acometida principal en zona verde, de 20 cm de ancho x 60 cm de profundidad y hasta 3 m de longitud. Se utilizará para relleno, el mismo material excavado.</t>
  </si>
  <si>
    <t>Implementar Sistema de medición y gestión de energía</t>
  </si>
  <si>
    <t>3.1</t>
  </si>
  <si>
    <t>Suministro e instalación de Medidor prepago monofásico bifilar 5 (80) A, 120 V, calibrado. Incluye sistema de  gestión de recaudo y equipos de comunicación standalone.</t>
  </si>
  <si>
    <t>Implementar Instalaciones Internas</t>
  </si>
  <si>
    <t>4.1</t>
  </si>
  <si>
    <t>Instalaciones Internas  Tipo I que incluyan 4 salidas de alumbrado y 4 tomacorrientes. Se considera implementación de hasta 20 metros de tubería EMT de 3/4" y hasta 66 mts de cable de cobre aislado THHN No. 12 AWG</t>
  </si>
  <si>
    <t>4.2</t>
  </si>
  <si>
    <t>Instalaciones Internas  Tipo II que incluyan 10 salidas de alumbrado y 12 tomacorrientes. Se considera implementación de hasta 50 metros de tubería EMT de 3/4" y hasta 156 mts de cable de cobre aislado THHN No. 12 AWG</t>
  </si>
  <si>
    <t>TOTAL COSTOS DIRECTOS</t>
  </si>
  <si>
    <t>PLAN DE GESTIÓN, CARACTERIZACIÓN, FORMACIÓN Y ACOMPAÑAMIENTO SOCIAL CE (ESCUELA TEJ)</t>
  </si>
  <si>
    <t xml:space="preserve">ITEM: </t>
  </si>
  <si>
    <t>UNIDAD:</t>
  </si>
  <si>
    <t xml:space="preserve">  I.  MATERIALES</t>
  </si>
  <si>
    <t>SUBTOTAL:</t>
  </si>
  <si>
    <t xml:space="preserve"> II.  EQUIPO Y HERRAMIENTA</t>
  </si>
  <si>
    <t>Tarifa/día</t>
  </si>
  <si>
    <t>III.  TRANSPORTE</t>
  </si>
  <si>
    <t>No. Personas</t>
  </si>
  <si>
    <t>Tarifa / Persona</t>
  </si>
  <si>
    <t>Alquiler motocicleta con conductor, valor diario</t>
  </si>
  <si>
    <t xml:space="preserve">IV.  MANO DE OBRA </t>
  </si>
  <si>
    <t>Jornal</t>
  </si>
  <si>
    <t>Fac. Pres.</t>
  </si>
  <si>
    <t xml:space="preserve">TOTAL COSTO DIRECTO: </t>
  </si>
  <si>
    <t>Tarifa / Kg</t>
  </si>
  <si>
    <t>KG</t>
  </si>
  <si>
    <t>Concreto (21 Mpa)</t>
  </si>
  <si>
    <t>Desperdicio 5%</t>
  </si>
  <si>
    <t>Acero de refuerzo estructural</t>
  </si>
  <si>
    <t>Desperdicio 15%</t>
  </si>
  <si>
    <t xml:space="preserve">IV. Calculo  MANO DE OBRA </t>
  </si>
  <si>
    <t>Concreto</t>
  </si>
  <si>
    <t>Excavacion</t>
  </si>
  <si>
    <t>acero de refuerzo</t>
  </si>
  <si>
    <t>acero estructural</t>
  </si>
  <si>
    <t>hincado poste</t>
  </si>
  <si>
    <t>rendimiento</t>
  </si>
  <si>
    <t>Lista de precios Materiales Estudio de mercados IPSE</t>
  </si>
  <si>
    <t>Codigo</t>
  </si>
  <si>
    <t>CATEGORÍA</t>
  </si>
  <si>
    <t>Material</t>
  </si>
  <si>
    <t>Peso Kg</t>
  </si>
  <si>
    <t>Valor Unitario</t>
  </si>
  <si>
    <t>PRECIO BASE</t>
  </si>
  <si>
    <t>AJUSTE POSITIVO</t>
  </si>
  <si>
    <t>Equipo principal</t>
  </si>
  <si>
    <t>Módulo solar fotovoltaico monocristalino tipo PERC "Half Cell" TIER 1 de 545 Wp</t>
  </si>
  <si>
    <t>Cableado y accesorios</t>
  </si>
  <si>
    <t>Cable Cu solar XLPE 4mm 1kV 120 °C</t>
  </si>
  <si>
    <t>ML</t>
  </si>
  <si>
    <t>Conector MC4 (Macho o Hembra)</t>
  </si>
  <si>
    <t>Cable Cu solar XLPE 6 AWG 1kV 120 °C</t>
  </si>
  <si>
    <t>Canalizaciones y accesorios</t>
  </si>
  <si>
    <t>Coraza flexible Liquid Tight 1 1/4"</t>
  </si>
  <si>
    <t>Terminal IMC 1/ 1/4"</t>
  </si>
  <si>
    <t>Abrazadera metálica doble ala 1 1/4"</t>
  </si>
  <si>
    <t>Tableros y gabinetes</t>
  </si>
  <si>
    <t>Gabinete eléctrico con tapa traslucida, doble fondo y cumplimiento RETIE, dimensiones 630x530x180 mm</t>
  </si>
  <si>
    <t>Barrajes</t>
  </si>
  <si>
    <t>Barraje de cobre tropicalizado de 210 A para 16 conexiones</t>
  </si>
  <si>
    <t>Accesorios Eléctricos</t>
  </si>
  <si>
    <t>Riel DIN 35 mm x 7.5 mm</t>
  </si>
  <si>
    <t>Protecciones</t>
  </si>
  <si>
    <t xml:space="preserve">Interruptor termomagnético 50A 2P 500 VDC 6 Ka </t>
  </si>
  <si>
    <t xml:space="preserve">Interruptor termomagnético 250A 2P 500 VDC 20 Ka </t>
  </si>
  <si>
    <t>DPS</t>
  </si>
  <si>
    <t>DPS Tipo 2 500 Uc Up 2,5 kV 18-40 kA</t>
  </si>
  <si>
    <t>Cable de Aluminio Serie  8000 THHN. 2/0 AWG</t>
  </si>
  <si>
    <t>Controlador MPPT RS 450/200A, tensiones de trabajo a 24V-48V, con conexión bluetoot y VE.CAN para configuración y monitorización de historico, eficiencia de conversión 99%, función de trabajo en paralelo</t>
  </si>
  <si>
    <t>Cable de Aluminio Serie  8000 THHN. 8 AWG</t>
  </si>
  <si>
    <t>Cable de Aluminio Serie  8000 THHN. 1/0 AWG</t>
  </si>
  <si>
    <t>Gabinete eléctrico metálico con revestimiento eléctrostatico de dimensiones 820x620x300 IP66 Doble fondo.</t>
  </si>
  <si>
    <t>Barraje de cobre tropicalizado de 650 A para 16 conexiones</t>
  </si>
  <si>
    <t xml:space="preserve">Interruptor termomagnético 100A 2P 500 VDC 6 Ka </t>
  </si>
  <si>
    <t>Cable de Aluminio Serie  8000 THHN. 3/0 AWG</t>
  </si>
  <si>
    <t xml:space="preserve">Interruptor termomagnético 140A 2P 500 VDC 6 Ka </t>
  </si>
  <si>
    <t xml:space="preserve">Interruptor termomagnético 200A 2P 500 VDC 6 Ka </t>
  </si>
  <si>
    <t>Borna para ponchar varios calibres y terminales</t>
  </si>
  <si>
    <t>Tubo termoencogible. Distintos calibres, distintos colores</t>
  </si>
  <si>
    <t>Batería de LiFePO4 6.1 kWh - 48V - 120 Ah,6000 ciclos con DOD 80%, incluido BMS</t>
  </si>
  <si>
    <t>Gabinete de Piso 40U (Ancho: 710 mm • Fondo: 990 mm)</t>
  </si>
  <si>
    <t xml:space="preserve">Cable Cu TWK 10 AWG </t>
  </si>
  <si>
    <t>Terminales para batería. Par</t>
  </si>
  <si>
    <t>JG</t>
  </si>
  <si>
    <t>Inversor 5kVA, voltaje de salida 230V/120V, con dos entradas CA y dos salidas CA, certificacion IEC 60335-1, IEC 60335-2 y IEC 62109-1</t>
  </si>
  <si>
    <t>Gabinete eléctrico metálico con cumplimiento RETIE, con revestimiento eléctrostatico de dimensiones 420x320x200 IP66 Doble fondo.</t>
  </si>
  <si>
    <t>Barraje de cobre tropicalizado de 110 A para 16 conexiones</t>
  </si>
  <si>
    <t>Interruptor termomagnético 30 A 1P 120/240 VAC 10kA</t>
  </si>
  <si>
    <t>Interruptor termomagnético 100 A 1P 120/240 VAC 10kA</t>
  </si>
  <si>
    <t xml:space="preserve">Autotransformador tipo split 120/230AC, 100A </t>
  </si>
  <si>
    <t>Gabinete eléctrico metálico con cumplimiento RETIE, con revestimiento eléctrostatico de dimensiones 250x700x100 IP66 Doble fondo.</t>
  </si>
  <si>
    <t>Barraje de cobre tropicalizado de 250 A para 16 conexiones</t>
  </si>
  <si>
    <t>SPT</t>
  </si>
  <si>
    <t>Kit de barra de cobre para puesta tierra de 8 conectores con área transversal no menor a 21,14 mm2. Incluye aisladores y accesorios de sujeción</t>
  </si>
  <si>
    <t>Cable Cu THHN 16 AWG</t>
  </si>
  <si>
    <t>Interruptor termomagnético 200 A 2P 120/240 VAC 10kA</t>
  </si>
  <si>
    <t>Interruptor termomagnético 130 A 2P 120/240 VAC 10kA</t>
  </si>
  <si>
    <t>Interruptor termomagnético 16 A 1P 120/240 VAC 10kA</t>
  </si>
  <si>
    <t>Canaleta conduit de 60x300 mm</t>
  </si>
  <si>
    <t>Tuberia conduit PVC SCH 40 1/2"</t>
  </si>
  <si>
    <t>Tuberia conduit PVC 2 1/2"</t>
  </si>
  <si>
    <t>Uniones, curvas y terminales PVC. Varios calibres</t>
  </si>
  <si>
    <t>Accesorios para fijación de canaleta (tornillería, pegante, chazos, etc)</t>
  </si>
  <si>
    <t>Conector recto coraza Liquid Tight 1 1/4"</t>
  </si>
  <si>
    <t>Union rápida para curvas canaleta conduit. Difertentes medidas</t>
  </si>
  <si>
    <t>Union con tornillo para canaleta (tipo perro)</t>
  </si>
  <si>
    <t>Union rápida para canaleta EDRN</t>
  </si>
  <si>
    <t>Desconectador de baterías 600 A</t>
  </si>
  <si>
    <t>Monitoreo y control</t>
  </si>
  <si>
    <t>Equipo de monitorización compatible con inversor, controlador y batería, WiFi y/o Ethernet y bluetooth, con firmaware gratuito y plataforma abierta</t>
  </si>
  <si>
    <t>Modem satelital</t>
  </si>
  <si>
    <t>Cable UTP Cat5E</t>
  </si>
  <si>
    <t>Cable UTP Cat6</t>
  </si>
  <si>
    <t>Conector RJ45</t>
  </si>
  <si>
    <t>Conector Patchcore RJ45 hembra</t>
  </si>
  <si>
    <t>Coraza flexible Liquid Tight 1/2"</t>
  </si>
  <si>
    <t>Conector recto coraza Liquid Tight 1/2"</t>
  </si>
  <si>
    <t>Caja de protección para albergue de equipos de monitoreo, con tapa frontal adecuada para instalación de pantalla de monitoreo</t>
  </si>
  <si>
    <t>Cable VE.Direct / VE.Can 1.8m</t>
  </si>
  <si>
    <t>Cable coaxial y antena para externa para interperie</t>
  </si>
  <si>
    <t>Otros</t>
  </si>
  <si>
    <t>Extintor</t>
  </si>
  <si>
    <t>Instalaciones internas</t>
  </si>
  <si>
    <t>Tomacorriente doble con polo a tierra</t>
  </si>
  <si>
    <t>Caja PVC 2" x 4"</t>
  </si>
  <si>
    <t>Cable de Aluminio Desnudo. 3/0 AWG</t>
  </si>
  <si>
    <t>Varilla de cobre 5/8 x 2.4 m</t>
  </si>
  <si>
    <t>Soldadura exotermina 90 gr</t>
  </si>
  <si>
    <t>Grapas de sujeción</t>
  </si>
  <si>
    <t>Terminal doble ojo #2/0 AWG</t>
  </si>
  <si>
    <t>Caja de inspección 30x30 cm con tapa</t>
  </si>
  <si>
    <t>Kit de barra de cobre para puesta tierra de 10 conectores con área transversal no menor a 21,14 mm2. Incluye aisladores y accesorios de sujeción</t>
  </si>
  <si>
    <t>Cable de Aluminio Serie  8000 THHN. 2 AWG</t>
  </si>
  <si>
    <t>Cable de Aluminio Serie  8000 THHN. 4 AWG</t>
  </si>
  <si>
    <t>Cinta acero inoxidable 19 mm (3/4")</t>
  </si>
  <si>
    <t>Hebilla acero inoxidable para cinta 19 mm (3/4")</t>
  </si>
  <si>
    <t>Ojo de aluminio para acometida domiciliaria</t>
  </si>
  <si>
    <t>Pinza de anclaje acometida domiciliaria</t>
  </si>
  <si>
    <t>Perno 7/16" con chazo</t>
  </si>
  <si>
    <t>Abrazadera metálica galvanizada doble ala 3/4"</t>
  </si>
  <si>
    <t>Cable de aluminio antifraude (con neutro concéntrico) 2 x No. 6 AWG</t>
  </si>
  <si>
    <t>Tuberia conduit PVC tipo A 3/4"</t>
  </si>
  <si>
    <t>Tubería conduit PVC SCH 40 3/4"</t>
  </si>
  <si>
    <t>Cable Cu Desnudo 8 AWG</t>
  </si>
  <si>
    <t>Medidor de energía monofásico bifilar 5 (80) A, 120 V, calibrado y certificado</t>
  </si>
  <si>
    <t>Caja policarbonato para medidor monofásico prepago con cumplimiento RETIE</t>
  </si>
  <si>
    <t>Civil</t>
  </si>
  <si>
    <t>Hilo para albañileria en poliuretano</t>
  </si>
  <si>
    <t>Agua</t>
  </si>
  <si>
    <t>L</t>
  </si>
  <si>
    <t>Agregado grueso (grava, grava triturada y/o roca triturada)</t>
  </si>
  <si>
    <t>m3</t>
  </si>
  <si>
    <t>Agregado fino para concreto (tamaño máximo 4,75mm - arena natural o trituración de roca, gravas, y/o escorias)</t>
  </si>
  <si>
    <t>Cemento hidráulico tipo ART</t>
  </si>
  <si>
    <t>kg</t>
  </si>
  <si>
    <t>Acero de refuerzo fy=420 MPa</t>
  </si>
  <si>
    <t>Alambre negro para amarre calibre 18</t>
  </si>
  <si>
    <t>Piedra rajón</t>
  </si>
  <si>
    <t>Impermeabilizante para concreto</t>
  </si>
  <si>
    <t>Acero galvanizado para estructura de soporte de paneles fotovoltaicos (ASTM A500 Gr.C y ASTM A653 Gr.50)</t>
  </si>
  <si>
    <t>Aislante de neopreno e mín.=6 mm</t>
  </si>
  <si>
    <t>m</t>
  </si>
  <si>
    <t>Pintura anticorrosiva</t>
  </si>
  <si>
    <t>gal</t>
  </si>
  <si>
    <t>Kit para construcción del sistema de recolección y suministro de aguas lluvias. Incluye botellas PET, tubería en PVC, canales, uniones y bajantes, láminas en superboard, válvulas, accesores, empaques, según diseño</t>
  </si>
  <si>
    <t xml:space="preserve">Poste en poliéster reforzado con fibra de vidrio (PRFV) ASCE 104/ASTM D4923, h=4m, 510kgf. </t>
  </si>
  <si>
    <t>FUSIBLE Gg 1P 250 A 25 kA</t>
  </si>
  <si>
    <t>FUSIBLE Gg 1P 160 A 25 kA</t>
  </si>
  <si>
    <t xml:space="preserve">Canaleta ranurada dexon 40 x 40 mm </t>
  </si>
  <si>
    <t>Gabinete 150cmx100cmx60cm (ALxANxF) TS BMT FMT BB - CAL 16 CRRAL 7035</t>
  </si>
  <si>
    <t>Conduit pvc tipo A - 2"</t>
  </si>
  <si>
    <t>Soldadura PVC</t>
  </si>
  <si>
    <t>Curva PVC 2"</t>
  </si>
  <si>
    <t>Union PVC 2"</t>
  </si>
  <si>
    <t>Cinta amarilla</t>
  </si>
  <si>
    <t>Cinta roja</t>
  </si>
  <si>
    <t>Cable Al Multiplex Triplex 2x1/0 + 1/0 THWN</t>
  </si>
  <si>
    <t>Cable Al Multiplex Triplex 2x2 + 2 THWN</t>
  </si>
  <si>
    <t>Caja de inspección</t>
  </si>
  <si>
    <t>Caja de inspección de BT, Norma Codensa CS274-1. Incluye rejilla para drenaje, tubería de desagüe, sellantes, marco metálico en ángulo de (2 1/2" x 2 1/2" x 3/16") y tapa en concreto reforzado.</t>
  </si>
  <si>
    <t>Barraje Premoldeado Para Baja Tensión Sumergible 500A 6 Puertos</t>
  </si>
  <si>
    <t>Terminal PVC tipo A 2"</t>
  </si>
  <si>
    <t>Sellador elástico cortafuego de silicona</t>
  </si>
  <si>
    <t>Tablero de distribución 1Ø - 3H de 4 circuitos</t>
  </si>
  <si>
    <t>Interruptor termomagnético enchufable 1 x 20 A, 120 VAC - 10 KA</t>
  </si>
  <si>
    <t>Caja PVC 4" x 4" con tapa lisa</t>
  </si>
  <si>
    <t>Plafón de losa</t>
  </si>
  <si>
    <t>Interruptor sencillo</t>
  </si>
  <si>
    <t>Conector tipo resorte No 12 AWG</t>
  </si>
  <si>
    <t>Cable Cu THHN 12 AWG</t>
  </si>
  <si>
    <t>Tornillo metálico galvanizado 1/4" x 1" con arandela</t>
  </si>
  <si>
    <t>Caja PVC Octagonal</t>
  </si>
  <si>
    <t>Estación metereologica inalambrica con sensor de humedad, temperatura, velocidad de viento, irradiación solar, radiación UV, precipitación incluye pantalla de monitorización</t>
  </si>
  <si>
    <t>Tubo de acero 2" mástil de soporte</t>
  </si>
  <si>
    <t>Soporte riel chanel 2x4cm x3m</t>
  </si>
  <si>
    <t>Grapas riel chanel conduit EMT 2"</t>
  </si>
  <si>
    <t>Cable Cu solar XLPE 10 AWG 1kV 120 °C</t>
  </si>
  <si>
    <t>Cable Cu THHN 10 AWG</t>
  </si>
  <si>
    <t>Uniones, curvas y terminales IMC. Varios calibres</t>
  </si>
  <si>
    <t>Tuberia conduit IMC 3/4"</t>
  </si>
  <si>
    <t>Barra bornera tierra con soporte plástico riel din de 10 cm</t>
  </si>
  <si>
    <t>Barra de cobre 12x2x100 mm (incluye aisladores)</t>
  </si>
  <si>
    <t xml:space="preserve">Canaleta ranurada dexon 25 x 40 mm </t>
  </si>
  <si>
    <t>Cinta de amarre dexon 10 cm color blanco</t>
  </si>
  <si>
    <t>Gabinete metálico con puerta y chapa para equipos y conexiones DC/AC de 598 mm de ancho, 840 mm de alto, 460 cm de fondo (incluye doblefondo, angeos, diseño y fabricación a la medida de los componentes), con soporte interior para batería 48V/100Ah)</t>
  </si>
  <si>
    <t>Marcador tipo anillo ar2 (+, -, L, N,T) x 20 Piezas</t>
  </si>
  <si>
    <t>Tornillo autoperforante de cabeza estrella 1/4" x 1/4"</t>
  </si>
  <si>
    <t xml:space="preserve">Interruptor termomagnético 25A 2P 500 VDC 6 Ka </t>
  </si>
  <si>
    <t xml:space="preserve">Interruptor termomagnético 80A 2P 500 VDC 6 Ka </t>
  </si>
  <si>
    <t xml:space="preserve">Interruptor termomagnético 25A 1P 120 VAC 10 Ka </t>
  </si>
  <si>
    <t>Cable Cu Soldador 2 AWG</t>
  </si>
  <si>
    <t>Cable Cu SGT 2 AWG</t>
  </si>
  <si>
    <t>Controlador de carga MPPT 48 VDC capacidad 50 A</t>
  </si>
  <si>
    <t>Batería de ión - litio tipo fosfato de hierro (LiFePO4) de ciclo profundo de 100 Ah - 51,2 VDC</t>
  </si>
  <si>
    <t>Inversor de onda senoidal pura 48 VDC / 120 VAC -  2000 VA, FP=1</t>
  </si>
  <si>
    <t>Malla electrosoldada 150x150x5mm ASTM 706</t>
  </si>
  <si>
    <t>Poste en acero galvanizado al caliente de 3 m, 510kgf. contiene: platina base en lámina ASTM A36 y soporte fijo para 2 paneles solares.</t>
  </si>
  <si>
    <t>Datalogguer (Toma de datos medidor)</t>
  </si>
  <si>
    <t>Coraza flexible Liquid Tight 1"</t>
  </si>
  <si>
    <t>Abrazadera metálica doble ala 1"</t>
  </si>
  <si>
    <t>Conector recto coraza Liquid Tight 1"</t>
  </si>
  <si>
    <t>Barraje de cobre tropicalizado de 200 A para 16 conexiones</t>
  </si>
  <si>
    <t>Barraje de cobre tropicalizado de 550 A para 16 conexiones</t>
  </si>
  <si>
    <t>Barraje de cobre tropicalizado de 100 A para 16 conexiones</t>
  </si>
  <si>
    <t>Interruptor termomagnético 80 A 1P 120/240 VAC 10kA</t>
  </si>
  <si>
    <t>Interruptor termomagnético 160 A 2P 120/240 VAC 10kA</t>
  </si>
  <si>
    <t>Interruptor termomagnético 110 A 2P 120/240 VAC 10kA</t>
  </si>
  <si>
    <t>Barraje de cobre tropicalizado de 120 A para 16 conexiones</t>
  </si>
  <si>
    <t>Controlador MPPT 250/60A, tensiones de trabajo a 24V-48V, con conexión bluetoot y VE.CAN para configuración y monitorización de historico, eficiencia de conversión 99%, función de trabajo en paralelo</t>
  </si>
  <si>
    <t>Barraje de cobre tropicalizado de 400 A para 16 conexiones</t>
  </si>
  <si>
    <t>Cable Cu SGT 6 AWG</t>
  </si>
  <si>
    <t>Cable Cu SGT 4 AWG</t>
  </si>
  <si>
    <t>Cable Cu SGT 1/0 AWG</t>
  </si>
  <si>
    <t>Barraje de cobre tropicalizado de 60 A para 16 conexiones</t>
  </si>
  <si>
    <t>Interruptor termomagnético 50 A 1P 120/240 VAC 10kA</t>
  </si>
  <si>
    <t>Barraje de cobre tropicalizado de 125 A para 16 conexiones</t>
  </si>
  <si>
    <t>Interruptor termomagnético 90 A 2P 120/240 VAC 10kA</t>
  </si>
  <si>
    <t>Canaleta conduit de 60x200 mm</t>
  </si>
  <si>
    <t>Cable de Aluminio Serie  8000 THHN. 6 AWG</t>
  </si>
  <si>
    <t>Barraje de cobre tropicalizado de 30 A para 6 conexiones</t>
  </si>
  <si>
    <t>Módulo solar fotovoltaico monocristalino tipo PERC "Half Cell" TIER 1 de 570 Wp</t>
  </si>
  <si>
    <t>Controlador MPPT 150/60A, tensiones de trabajo a 24V-48V, con conexión bluetoot y VE.CAN para configuración y monitorización de historico, eficiencia de conversión 99%, función de trabajo en paralelo</t>
  </si>
  <si>
    <t>Barraje de cobre tropicalizado de 350 A para 16 conexiones</t>
  </si>
  <si>
    <t>Interruptor termomagnético 60 A 1P 120/240 VAC 10kA</t>
  </si>
  <si>
    <t>Interruptor termomagnético 80 A 2P 120/240 VAC 10kA</t>
  </si>
  <si>
    <t>Barraje de cobre tropicalizado de 135 A para 16 conexiones</t>
  </si>
  <si>
    <t xml:space="preserve">Interruptor termomagnético 160A 2P 500 VDC 6 Ka </t>
  </si>
  <si>
    <t>Barraje de cobre tropicalizado de 270 A para 16 conexiones</t>
  </si>
  <si>
    <t>Barraje de cobre tropicalizado de 160 A para 16 conexiones</t>
  </si>
  <si>
    <t>Barraje de cobre tropicalizado de 70 A para 16 conexiones</t>
  </si>
  <si>
    <t>Barraje de cobre tropicalizado de 150 A para 16 conexiones</t>
  </si>
  <si>
    <t>Interruptor termomagnético 50 A 2P 120/240 VAC 10kA</t>
  </si>
  <si>
    <t>Interruptor termomagnético 60 A 2P 120/240 VAC 10kA</t>
  </si>
  <si>
    <t xml:space="preserve">Interruptor termomagnético 125A 2P 500 VDC 6 Ka </t>
  </si>
  <si>
    <t>Tablero enchufe monofásico con cumplimiento retie</t>
  </si>
  <si>
    <t>Barraje de cobre tropicalizado de 80 A para 16 conexiones</t>
  </si>
  <si>
    <t>Interruptor termomagnético 40 A 2P 120/240 VAC 10kA</t>
  </si>
  <si>
    <t>Canaleta conduit de 60x100 mm</t>
  </si>
  <si>
    <t>Plan de datos satelital x año</t>
  </si>
  <si>
    <t>Radio Transmisor Telemetria + Cable Extensor Antena</t>
  </si>
  <si>
    <t>GB</t>
  </si>
  <si>
    <t>Radio Receptor Telemetria Control Maestro + Cable Extensor Antena</t>
  </si>
  <si>
    <t>Gabinete Controlador Maestro Y Panel</t>
  </si>
  <si>
    <t>Aplicativo Captura Datalogger (Datasol)</t>
  </si>
  <si>
    <t>Servidor (Pantalla-Teclado-Mouse)</t>
  </si>
  <si>
    <t>UPS  Servidor</t>
  </si>
  <si>
    <t>Alambre galvanizado No. 10</t>
  </si>
  <si>
    <t xml:space="preserve">Ángulo ASTM A36 de 1 1/2"x1 1/2"x 3/16" </t>
  </si>
  <si>
    <t>GAL</t>
  </si>
  <si>
    <t>Platina metálica pisamalla 3/8"x1/8"</t>
  </si>
  <si>
    <t>Alambre de puas galvanizado CAL 14</t>
  </si>
  <si>
    <t>Tubo cerramiento galvanizado φ1  1/2" x1.5 mm</t>
  </si>
  <si>
    <t>Tubo cerramiento galvanizado φ2" x2.5 mm</t>
  </si>
  <si>
    <t>Tubo cerramiento galvanizado φ2  1/2" x2.5 mm</t>
  </si>
  <si>
    <t>Tubo cerramiento galvanizado φ3" x3 mm</t>
  </si>
  <si>
    <t>Concreto simple resistencia 3000 psi - Mezcla in situ   para cimentación de cerramiento, incluye formaleta de madera</t>
  </si>
  <si>
    <t>Concreto Ciclópeo 40% Piedra rajón y 60% Concreto de 17 Mpa - Mezcal in situ</t>
  </si>
  <si>
    <t>Kit para construcción de envolvente cuarto de equipos según diseño. Incluye muros en WPC sistema interlocking, cubierta en teja de PVC 2.5 mm color blanca con caballetes, puertas en aluminio anodizado, rejillas de ventilación en aluminio , tornillería y piezas de sujeción.</t>
  </si>
  <si>
    <r>
      <t>m</t>
    </r>
    <r>
      <rPr>
        <vertAlign val="superscript"/>
        <sz val="11"/>
        <rFont val="Arial"/>
        <family val="2"/>
      </rPr>
      <t>2</t>
    </r>
  </si>
  <si>
    <t>Cable de Cobre Desnudo. 6 AWG</t>
  </si>
  <si>
    <t xml:space="preserve">Interruptor termomagnético 32A 2P 500 VDC 6 Ka </t>
  </si>
  <si>
    <t xml:space="preserve">Interruptor termomagnético 63A 1P 120/240V VAC 6 Ka </t>
  </si>
  <si>
    <t>DPS TIPO 1+2 2P Uc: 150 VAC Up: &lt; 1 kV In: 20 kA Iimp: 12,5 kA/polo Imax: 40 kA</t>
  </si>
  <si>
    <t>Interruptor Termomagnético 6A 1p 120/240v VAC 6 ka</t>
  </si>
  <si>
    <t xml:space="preserve">Interruptor termomagnético 63A 2P 120/240V VAC 6 Ka </t>
  </si>
  <si>
    <t xml:space="preserve">Interruptor termomagnético 30A 1P 120/240V VAC 6 Ka </t>
  </si>
  <si>
    <t>Modem celular 3G y LTE 4G, con receptor GPS integrado</t>
  </si>
  <si>
    <t>Medidor de energía AMI monofásico bifilar 5 (80) A, 120 V, calibrado</t>
  </si>
  <si>
    <t>Modulo externo 3G/4G</t>
  </si>
  <si>
    <t>Módulo solar fotovoltaico monocristalino tipo PERC "Half Cell" TIER 1 de 550 Wp</t>
  </si>
  <si>
    <t>Cable Cu solar XLPE 6mm 1kV 120 °C</t>
  </si>
  <si>
    <t xml:space="preserve">Interruptor termomagnético 25A 2P 120/240V VAC 10 Ka </t>
  </si>
  <si>
    <t>DPS Tipo 1+2 500 Uc Up 2,5 kV 18-40 kA</t>
  </si>
  <si>
    <t>Cable Cu THHN 4 AWG</t>
  </si>
  <si>
    <t>Cable Cu THHN 2 AWG</t>
  </si>
  <si>
    <t>Cable Cu THHN 1/0 AWG</t>
  </si>
  <si>
    <t>Cable Cu THHN 2/0 AWG</t>
  </si>
  <si>
    <t>Cable Cu THHN 6 AWG</t>
  </si>
  <si>
    <t xml:space="preserve">Interruptor termomagnético 20A 2P 120/240V VAC 10 Ka </t>
  </si>
  <si>
    <t>DPS- Señalizacion Tipo 2 2P 150 Uc 20-40 kA</t>
  </si>
  <si>
    <t>Cable de Cobre Desnudo. 2 AWG</t>
  </si>
  <si>
    <t>Bentonita mejorada</t>
  </si>
  <si>
    <t>BULTO</t>
  </si>
  <si>
    <t>Cable Cu THHN 8 AWG</t>
  </si>
  <si>
    <t>Barraje de cobre tropicalizado de 300 A para 16 conexiones</t>
  </si>
  <si>
    <t xml:space="preserve">Interruptor termomagnético 320A 2P 500 VDC 6 Ka </t>
  </si>
  <si>
    <t>Cable Cu THHN 250 MCM</t>
  </si>
  <si>
    <t>Barraje de cobre tropicalizado de 500 A para 16 conexiones</t>
  </si>
  <si>
    <t xml:space="preserve">Interruptor termomagnético 630A 2P 500 VDC 6 Ka </t>
  </si>
  <si>
    <t>Cable Cu THHN 350 MCM</t>
  </si>
  <si>
    <t xml:space="preserve">Autotransformador 15 kVA trifásico, IP40 Y/Y 120/208 V </t>
  </si>
  <si>
    <t>Interruptor termomagnético 50 A 3P 208 VAC 10kA</t>
  </si>
  <si>
    <t>Interruptor termomagnético 40 A 3P 208 VAC 10kA</t>
  </si>
  <si>
    <t>DPS- Señalizacion Tipo 2 3P 250 Uc 20-40 kA</t>
  </si>
  <si>
    <t>Tubo EMT 1 1/2"</t>
  </si>
  <si>
    <t>Unión EMT 1 1/2"</t>
  </si>
  <si>
    <t>Adaptador EMT 1 1/2"</t>
  </si>
  <si>
    <t>Curva EMT 1 1/2"</t>
  </si>
  <si>
    <t xml:space="preserve">Tubo EMT 2" </t>
  </si>
  <si>
    <t>Adaptador EMT 2"</t>
  </si>
  <si>
    <t>Unión EMT 2"</t>
  </si>
  <si>
    <t>Curva EMT 2"</t>
  </si>
  <si>
    <t xml:space="preserve">Tubo EMT 3" </t>
  </si>
  <si>
    <t>Adaptador EMT 3"</t>
  </si>
  <si>
    <t>Unión EMT 3"</t>
  </si>
  <si>
    <t>Curva EMT 3"</t>
  </si>
  <si>
    <t>Inversor Symo Advanced 15.0-3 480 WLAN/LAN/Webserver Fronius</t>
  </si>
  <si>
    <t>Inversor bidireccional Victron Quattro 10 kW 120 V</t>
  </si>
  <si>
    <t>Generador Diesel 3F 36kVA/29kW 230/132V abierto</t>
  </si>
  <si>
    <t>Transformador de distribución monofásico 5 kVA 13200/208/127 V.</t>
  </si>
  <si>
    <t>Transformador de distribución trifásico 30 kVA 13200/208/127 V.</t>
  </si>
  <si>
    <t>Aislador suspension sintetico-polimerico para 15 KV</t>
  </si>
  <si>
    <t>Arandela presión 5/8"</t>
  </si>
  <si>
    <t>Arandela presión 1/2"</t>
  </si>
  <si>
    <t xml:space="preserve">Cruceta de 2,4 Mts x 3 x 3 x 1/4 </t>
  </si>
  <si>
    <t>Grapa de retención aluminio 6 - 2/0 AWG</t>
  </si>
  <si>
    <t xml:space="preserve">Perno de maquina 5/8 X 10" </t>
  </si>
  <si>
    <t>Perno de maquina 1/2 X 1 1/2</t>
  </si>
  <si>
    <t>Espárrago 5/8 X 10"</t>
  </si>
  <si>
    <t>Tuerca de ojo redonda 5/8"</t>
  </si>
  <si>
    <t>Diagonal de 68 cm 1 1/2 x 1 1/2 x 3/16</t>
  </si>
  <si>
    <t>Arandela cuadrada 2 x 2 x 5/8 "</t>
  </si>
  <si>
    <t>Arandela cuadrada 2 x 2 x 1/2 "</t>
  </si>
  <si>
    <t>Conector de ranuras paralelas 2/0-2/0 tipo DBH-2</t>
  </si>
  <si>
    <t>Aislador tipo pin 15 kV ANSI 55-5</t>
  </si>
  <si>
    <t>Tuberia IMC 3" x 3m</t>
  </si>
  <si>
    <t>Capacete Galvanizado para tuberia IMC de 3"</t>
  </si>
  <si>
    <t>CURVA CONDUIT PVC 3" TDP</t>
  </si>
  <si>
    <t>Collarin 2 salidas 6" - 7"</t>
  </si>
  <si>
    <t>Perno carriage 5/8 x 2</t>
  </si>
  <si>
    <t>Conector en aluminio 2 pernos 6 - 2/0</t>
  </si>
  <si>
    <t>Cortacircuitos 15 KV</t>
  </si>
  <si>
    <t>Dado galvanizado de 3" x 3"</t>
  </si>
  <si>
    <t>Fusible tipo dual</t>
  </si>
  <si>
    <t>Grapa para conexión en caliente</t>
  </si>
  <si>
    <t>Pararrayos 12 kV - 10 kA</t>
  </si>
  <si>
    <t>Collarin para Transformador de 8 - 9 pl. 1/4 Bajo Silicio 200 mm</t>
  </si>
  <si>
    <t>Cable ACSR Nº 2</t>
  </si>
  <si>
    <t>ml</t>
  </si>
  <si>
    <t>Aislador tipo tensor 4/1/4"</t>
  </si>
  <si>
    <t>Grapa prensora 3 pernos para cable 3/8"</t>
  </si>
  <si>
    <t>Guardacabo para cable 3/8"</t>
  </si>
  <si>
    <t>Arandela cuadrada plano 4 x 4 x 5/8 "</t>
  </si>
  <si>
    <t>Varilla de anclaje 1.8 m x 5/8"</t>
  </si>
  <si>
    <t>Bloque de anclaje en Concreto</t>
  </si>
  <si>
    <t>Cable galvanizado 3/8"</t>
  </si>
  <si>
    <t>Soldadura exotermica 115 gr</t>
  </si>
  <si>
    <t xml:space="preserve">Cinta bandit 5/8" </t>
  </si>
  <si>
    <t>Hebilla de acero inoxidable 5/8"</t>
  </si>
  <si>
    <t>Tubo EMT 1/2 x 3m</t>
  </si>
  <si>
    <t>Hidrogel para tratamiento de tierras ( 25 KG)</t>
  </si>
  <si>
    <t>Aislador tipo carrete</t>
  </si>
  <si>
    <t xml:space="preserve">Conector Bimetalico 2 Perno 1/0 - 366 Kcmil </t>
  </si>
  <si>
    <t>Percha tipo pesado de 1 puestos</t>
  </si>
  <si>
    <t>Cable cuadruplex 3 x 2/0  + 1/0</t>
  </si>
  <si>
    <t>Cable triplex 2x4 + 4</t>
  </si>
  <si>
    <t>Cable monofásico concentrico 1x8+8 CU</t>
  </si>
  <si>
    <t>Union EMT 1/2"</t>
  </si>
  <si>
    <t>Terminal EMT 1/2"</t>
  </si>
  <si>
    <t>Curva EMT 1/2"</t>
  </si>
  <si>
    <t>Generador Diesel 3F 12kVA/10kW 230/132V cerrada</t>
  </si>
  <si>
    <t>Generador Diesel 3F 21kVA/19kW 230/132V cerrada</t>
  </si>
  <si>
    <t>Transformador de distribución para aplicación solar 75 kVA - 208V/13,2KV seco</t>
  </si>
  <si>
    <t>Transformador de distribución para aplicación solar 30 kVA - 208V/13,2KV seco</t>
  </si>
  <si>
    <t>Celda para transformador tipo seco de 15 KV (220 X 150 X 120) m, lámina de acero estirada en frío calibre 14-16, tratada químicamente para la desoxidación, desengrase y fosfatado, con acabado epóxico, aplicado electrostáticamente</t>
  </si>
  <si>
    <t>Caja para acometida en policarbonato trifásica 4 usuarios</t>
  </si>
  <si>
    <t xml:space="preserve">Brazo para soporte luminaria horizontal </t>
  </si>
  <si>
    <t xml:space="preserve">Luminaria led street light zd216 40w luz neutra </t>
  </si>
  <si>
    <t xml:space="preserve">Fotocelda </t>
  </si>
  <si>
    <t>Cable cuadruplex 3 x 1/0  + 1/0</t>
  </si>
  <si>
    <t xml:space="preserve">Conector Bimetalico 1 Perno No 1 Cab. 6 </t>
  </si>
  <si>
    <t>Capacete Galvanizado para tubería galvanizada 3/4"</t>
  </si>
  <si>
    <t>Tuberia IMC 3/4" x 3m</t>
  </si>
  <si>
    <t>Poste en fibra de vidrio 8m 750kgf</t>
  </si>
  <si>
    <t>Lampara Hermetica Led 3200lm 2x18w Ip65</t>
  </si>
  <si>
    <t>Batería de LiFePO4 6.4 kWh - 51,2V - 125 Ah,6000 ciclos con DOD 80%, incluido BMS</t>
  </si>
  <si>
    <t>Soporte para paneles incluye poste cónico en poliéster reforzado con fibra de vidrio (PRFV) de 510 kgf L=4 m y marco superior angular de acero galvanizado en caliente para 3 paneles con sistema de fijación al poste</t>
  </si>
  <si>
    <t xml:space="preserve">Interruptor termomagnético 20A 2P 500 VDC 6 Ka </t>
  </si>
  <si>
    <t>Comunicaciones</t>
  </si>
  <si>
    <t>Medidor Prepago 120V 5-80A</t>
  </si>
  <si>
    <t xml:space="preserve">Plataforma de Recaudo </t>
  </si>
  <si>
    <t>Datafono Telpo  Local</t>
  </si>
  <si>
    <t xml:space="preserve"> Software Datafono Telpo Local</t>
  </si>
  <si>
    <t>Datafono Telpo  Viajero</t>
  </si>
  <si>
    <t xml:space="preserve"> Software Datafono Telpo Viajero</t>
  </si>
  <si>
    <t>Entrenamiento y puesta en marcha plataforma (virtual)</t>
  </si>
  <si>
    <t>Entrenamiento y puesta en marcha servidor de captura (virtual)</t>
  </si>
  <si>
    <t xml:space="preserve">Medidor Prepago 120V 5-80A (AMI) </t>
  </si>
  <si>
    <t xml:space="preserve">Plataforma HES AMI </t>
  </si>
  <si>
    <t>Concentrador AMI PLC CL818C84</t>
  </si>
  <si>
    <t>Gabinete Concentrador</t>
  </si>
  <si>
    <t>Plan Internet Satelital Anual Estándar Starlink</t>
  </si>
  <si>
    <t>Equipo internet satelital Starlink Standar (incluye Antena + Router)</t>
  </si>
  <si>
    <t>Tomacorriente doble con polo a tierra GFCI</t>
  </si>
  <si>
    <t>Lámpara LED de sobreponer de 60 x 60 cm. - 40 W - 120 V</t>
  </si>
  <si>
    <t>Bombillo LED de 9 W - 120 V</t>
  </si>
  <si>
    <t>Módulo solar fotovoltaico monocristalino tipo PERC "Half Cell" TIER 1 de 670 Wp</t>
  </si>
  <si>
    <t>Caja para acometida en policarbonato trifásica 9 usuarios</t>
  </si>
  <si>
    <t>Baja Tensión</t>
  </si>
  <si>
    <t>CONECTOR DE PERFORACION TORN CHAQ AISL 2/0-2  P2X-95</t>
  </si>
  <si>
    <t>KIT PUESTA A TIERRA NEUTRO SECUNDARIO CON VARILLA</t>
  </si>
  <si>
    <t>ARANDELA GUASA DE 1/2" GALVANIZADA EN CALIENTE</t>
  </si>
  <si>
    <t>ARANDELA GUASA DE 5/8" GALVANIZADA EN CALIENTE</t>
  </si>
  <si>
    <t>COLLARIN DOS SALIDAS (7" - 8")</t>
  </si>
  <si>
    <t xml:space="preserve">GRAPA DE SUSPENSIÓN RED TRENZADA </t>
  </si>
  <si>
    <t xml:space="preserve">PERNO DE OJO ABIERTO DE 5/8 X 10 </t>
  </si>
  <si>
    <t>CAPUCHON PARA SELLAR PUNTAS DE CABLE</t>
  </si>
  <si>
    <t xml:space="preserve">GRAPA DE RETENCIÓN RED TRENZADA </t>
  </si>
  <si>
    <t xml:space="preserve">PERNO DE OJO CERRADO DE 5/8 X 10 </t>
  </si>
  <si>
    <t>Caja medidor pequeña con interruptor magnetico</t>
  </si>
  <si>
    <t>Datasol DC Wifi (inlcuye 2 tarjetas Mifare)</t>
  </si>
  <si>
    <t>Aplicativo servidor de captura datalogger</t>
  </si>
  <si>
    <t>App Software Android Lectura informacion medidores</t>
  </si>
  <si>
    <t>caja de conexión IP 68</t>
  </si>
  <si>
    <t xml:space="preserve">Interruptor termomagnético 30A 2P 500 VDC 6 Ka </t>
  </si>
  <si>
    <t xml:space="preserve">Fusible DC 32A </t>
  </si>
  <si>
    <t xml:space="preserve">Portafusibles 1P 1000VDC </t>
  </si>
  <si>
    <t>Cable Cu THHN 4/0 AWG</t>
  </si>
  <si>
    <t>Cable Cu Desnudo 4 AWG</t>
  </si>
  <si>
    <t>Cable Cu THHN 500 MCM</t>
  </si>
  <si>
    <t>Tubo conduit metalico EMT 3/4"</t>
  </si>
  <si>
    <t>Unión conduit metalica EMT 3/4"</t>
  </si>
  <si>
    <t>Terminal conduit metalica EMT 3/4"</t>
  </si>
  <si>
    <t>Regulador (Controlador) de carga MPPT de 48 VDC - 100 Amp. con display LCD, para batería de Ión - Litio tipo LiFePO4</t>
  </si>
  <si>
    <t>Inversor "off-grid" de 3000 W, 48 VDC - 120 VAC, 60 Hz, onda senoidal pura con display LCD</t>
  </si>
  <si>
    <t>Gabinete metálico uso interior para albergar regulador, inversor, baterías, medidor prepago, protecciones y conexiones DC / AC de 130 x 80 x 60 cm.</t>
  </si>
  <si>
    <t>Curva 90 x 3/4 pulgada conduit PVC</t>
  </si>
  <si>
    <t>Batería de ión - litio tipo fosfato de hierro (LiFePO4) de ciclo profundo de 200 Ah - 51,2 VDC</t>
  </si>
  <si>
    <t>Soporte extintor de CO2</t>
  </si>
  <si>
    <t>Cable de Cobre Desnudo. 2/0 AWG</t>
  </si>
  <si>
    <t>Caja medidor pequeña con accesorios</t>
  </si>
  <si>
    <t>Rak de comunicaciones 19" de 9 RU Dimensiones: 600 x 488  x 523 mm (Ancho x Alto x Profundidad).</t>
  </si>
  <si>
    <t xml:space="preserve">Tuerca enjaulada o tipo canasta + tornillos </t>
  </si>
  <si>
    <t>Organizador doble horizontal</t>
  </si>
  <si>
    <t>Tomacorriente Horizontal (PDU) de 8 Contactos</t>
  </si>
  <si>
    <t>Bandeja para soportar equipos en Rack de 19" y 34 cm</t>
  </si>
  <si>
    <t>Switch de red 1RU POE 10/100/1000</t>
  </si>
  <si>
    <t>Patch cord Cat6 de de 1.5 Mt</t>
  </si>
  <si>
    <t xml:space="preserve">Equipo Cerbo Gx Monitoreo Nano - Microrred </t>
  </si>
  <si>
    <t>Cables de conexión VE.Direct de 5 Mt</t>
  </si>
  <si>
    <t>Cable VE.Can to CAN-bus BMS cable</t>
  </si>
  <si>
    <t>Medidor PPKW CLSM-3F4H-CT BASE CL730D25 GPRS</t>
  </si>
  <si>
    <t>Gabinete Medidor macromedicion  + CTs + Accesorios</t>
  </si>
  <si>
    <t>Tuberia conduit IMC 1"</t>
  </si>
  <si>
    <t>Tuberia conduit PVC tipo A 1"</t>
  </si>
  <si>
    <t>Curva 90 x 1 pulgada conduit PVC</t>
  </si>
  <si>
    <t>Barraje de cobre tropicalizado de 900 A para 16 conexiones</t>
  </si>
  <si>
    <t>Interruptor termomagnético 175 A 2P 120/240 VAC 10kA</t>
  </si>
  <si>
    <t>Canaleta conduit de 60x40 mm</t>
  </si>
  <si>
    <t>Interruptor termomagnético 60 A 3P 208 VAC 10kA</t>
  </si>
  <si>
    <t>Union Metalica Galvanizada IMC de 3 IMC 3</t>
  </si>
  <si>
    <t>Curva 90 Grados Galvanizada IMC de 3</t>
  </si>
  <si>
    <t>Puntilla con cabeza 1"</t>
  </si>
  <si>
    <t>lb</t>
  </si>
  <si>
    <t>Estaca de madera h=0,50 - 0,60m A=4 25 cm</t>
  </si>
  <si>
    <t>Canal Raingo de PAVCO o similar - Blanca</t>
  </si>
  <si>
    <t xml:space="preserve">Tapa externa Canal Raingo de PAVCO o similar </t>
  </si>
  <si>
    <t>Unión bajante-Canal Raingo de PAVCO o similar</t>
  </si>
  <si>
    <t>Unión Canal Raingo de PAVCO o similar</t>
  </si>
  <si>
    <t>Unión bajante Canal Raingo de PAVCO o similar</t>
  </si>
  <si>
    <t>Bajante blanca 3 metros</t>
  </si>
  <si>
    <t>Soporte canal pvc raingo</t>
  </si>
  <si>
    <t>Soporte bajante</t>
  </si>
  <si>
    <t>Codo 45° bajante</t>
  </si>
  <si>
    <t>Lamina perforada fabricada en lámina metálica cl 18</t>
  </si>
  <si>
    <t>m2</t>
  </si>
  <si>
    <t>malla eslabonada calibre 10 ojo 2-1/4" x 2-1/4"</t>
  </si>
  <si>
    <t>Angulo 6m x 1-1/2 x 3/16 pulg</t>
  </si>
  <si>
    <t>Cable Guaya en Acero Galvanizado de 1/8"</t>
  </si>
  <si>
    <t>Perros Para Cable Galvanizado 1/8</t>
  </si>
  <si>
    <t>Thiner extrafino</t>
  </si>
  <si>
    <t>Pintura esmalte Tipo 1</t>
  </si>
  <si>
    <t>Disco Abrasivo Corte Metal 4-1/2-Pulgx1mm</t>
  </si>
  <si>
    <t>Postes Fibra de Vidrio 8 Metros X 510 Kgf Monolitico</t>
  </si>
  <si>
    <t>Tensor de Acometida BP Pequeño 19 mm - Maxima Fijacion y Resistencia</t>
  </si>
  <si>
    <t>Caja para acometida en policarbonato trifásica 6 usuarios</t>
  </si>
  <si>
    <t>C CPLEX 3x35mm² AAC CPR XLP SR+50mm² AAAC XLPE SR 600V 90°C</t>
  </si>
  <si>
    <t>C CUADUPLEX 3x70mm²+50mm² AAACXLP 0.6/1 kV 90°C</t>
  </si>
  <si>
    <t xml:space="preserve">Autotransformador tipo split 120/240AC, 32A </t>
  </si>
  <si>
    <t>transformador 15 KVA Vemtro 120/208 V 1H/3H Y</t>
  </si>
  <si>
    <t>CONECTOR DE TORNILLO CON CHAQUETA AISLANTE TIPO 2.</t>
  </si>
  <si>
    <t>CONECTOR DE TORNILLO CON CHAQUETA AISLANTE TIPO 4.</t>
  </si>
  <si>
    <t>Postes Fibra de Vidrio 8 Metros X 1050 Kgf Monolitico</t>
  </si>
  <si>
    <t xml:space="preserve">Angulo L ASTM A572 Gr. 50 galvanizado 1/4"x2 1/2" </t>
  </si>
  <si>
    <t>Angulo 50 x 50 x 3mm</t>
  </si>
  <si>
    <t>Angulo L ASTM A572 Gr. 50 galvanizado 1/8"x1 1/2"</t>
  </si>
  <si>
    <t>Angulo L ASTM A572 Gr. 50 galvanizado 1/4"x3"</t>
  </si>
  <si>
    <t>Platina ASTM A36 300x300, e=9,53mm</t>
  </si>
  <si>
    <t xml:space="preserve">Platina ASTM A36 200 x 50, e=6,35mm </t>
  </si>
  <si>
    <t>Soldadura electrodo E7018</t>
  </si>
  <si>
    <t xml:space="preserve">Perno ASTM A325 galvanizado 3/8", L=8" </t>
  </si>
  <si>
    <t>und</t>
  </si>
  <si>
    <t xml:space="preserve">Tornillo metálico galvanizado 13x38mm </t>
  </si>
  <si>
    <t xml:space="preserve">Angulo L ASTM A572 Gr. 50 galvanizado 3/16"x2 1/2" </t>
  </si>
  <si>
    <t xml:space="preserve">Angulo L ASTM A572 Gr. 50 galvanizado 1/4"x2" </t>
  </si>
  <si>
    <t>Subbase granular Clase C o similar</t>
  </si>
  <si>
    <t xml:space="preserve"> según invias magdalena centro, </t>
  </si>
  <si>
    <t>Cant.</t>
  </si>
  <si>
    <t>Valor</t>
  </si>
  <si>
    <t>3 Paneles</t>
  </si>
  <si>
    <t>Totales</t>
  </si>
  <si>
    <t>Unitario</t>
  </si>
  <si>
    <t>Panel</t>
  </si>
  <si>
    <t>670 wp</t>
  </si>
  <si>
    <t>Bateria</t>
  </si>
  <si>
    <t>120 Ah</t>
  </si>
  <si>
    <t>Controlador</t>
  </si>
  <si>
    <t>2000 w</t>
  </si>
  <si>
    <t>3000 w</t>
  </si>
  <si>
    <t xml:space="preserve">COSTO TOTAL PROYECTO </t>
  </si>
  <si>
    <t>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</si>
</sst>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6">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 #,##0.00_);_(* \(#,##0.00\);_(* &quot;-&quot;??_);_(@_)"/>
    <numFmt numFmtId="165" formatCode="0.0"/>
    <numFmt numFmtId="166" formatCode="&quot;$&quot;\ #,##0"/>
    <numFmt numFmtId="167" formatCode="_(&quot;$&quot;\ * #,##0.00_);_(&quot;$&quot;\ * \(#,##0.00\);_(&quot;$&quot;\ * &quot;-&quot;??_);_(@_)"/>
    <numFmt numFmtId="168" formatCode="0.0%"/>
    <numFmt numFmtId="169" formatCode="_-* #,##0.00\ &quot;Pts&quot;_-;\-* #,##0.00\ &quot;Pts&quot;_-;_-* &quot;-&quot;??\ &quot;Pts&quot;_-;_-@_-"/>
    <numFmt numFmtId="171" formatCode="_-[$$-240A]* #,##0_-;\-[$$-240A]* #,##0_-;_-[$$-240A]* &quot;-&quot;??_-;_-@_-"/>
    <numFmt numFmtId="172" formatCode="#,##0.0"/>
    <numFmt numFmtId="173" formatCode="_-[$$-240A]* #,##0.0_-;\-[$$-240A]* #,##0.0_-;_-[$$-240A]* &quot;-&quot;??_-;_-@_-"/>
    <numFmt numFmtId="174" formatCode="0.000"/>
    <numFmt numFmtId="175" formatCode="_(* #,##0_);_(* \(#,##0\);_(* &quot;-&quot;??_);_(@_)"/>
    <numFmt numFmtId="179" formatCode="&quot;No. &quot;#,##0"/>
    <numFmt numFmtId="180" formatCode="&quot;$&quot;\ #,##0.0"/>
    <numFmt numFmtId="181" formatCode="_ &quot;$&quot;\ * #,##0.00_ ;_ &quot;$&quot;\ * \-#,##0.00_ ;_ &quot;$&quot;\ * &quot;-&quot;??_ ;_ @_ "/>
    <numFmt numFmtId="186" formatCode="_ * #,##0.00_ ;_ * \-#,##0.00_ ;_ * &quot;-&quot;??_ ;_ @_ "/>
    <numFmt numFmtId="187" formatCode="#,##0.00_ ;\-#,##0.00\ "/>
    <numFmt numFmtId="188" formatCode="0.0\ &quot; Dias&quot;"/>
    <numFmt numFmtId="189" formatCode="_-&quot;$&quot;* #,##0_-;\-&quot;$&quot;* #,##0_-;_-&quot;$&quot;* &quot;-&quot;_-;_-@_-"/>
    <numFmt numFmtId="193" formatCode="_-* #,##0\ &quot;Pts&quot;_-;\-* #,##0\ &quot;Pts&quot;_-;_-* &quot;-&quot;\ &quot;Pts&quot;_-;_-@_-"/>
    <numFmt numFmtId="194" formatCode="[$$-240A]\ #,##0.00"/>
    <numFmt numFmtId="196" formatCode="0.0000"/>
  </numFmts>
  <fonts count="8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3F3F76"/>
      <name val="Calibri"/>
      <family val="2"/>
      <scheme val="minor"/>
    </font>
    <font>
      <sz val="10"/>
      <name val="Arial"/>
      <family val="2"/>
    </font>
    <font>
      <b/>
      <sz val="9"/>
      <color indexed="81"/>
      <name val="Tahoma"/>
      <family val="2"/>
    </font>
    <font>
      <sz val="9"/>
      <color indexed="81"/>
      <name val="Tahoma"/>
      <family val="2"/>
    </font>
    <font>
      <b/>
      <sz val="10"/>
      <name val="Arial"/>
      <family val="2"/>
    </font>
    <font>
      <u/>
      <sz val="10"/>
      <color theme="10"/>
      <name val="Arial"/>
      <family val="2"/>
    </font>
    <font>
      <b/>
      <sz val="11"/>
      <name val="Arial"/>
      <family val="2"/>
    </font>
    <font>
      <b/>
      <u/>
      <sz val="10"/>
      <name val="Arial"/>
      <family val="2"/>
    </font>
    <font>
      <sz val="11"/>
      <color rgb="FF000000"/>
      <name val="Calibri"/>
      <family val="2"/>
    </font>
    <font>
      <b/>
      <sz val="10"/>
      <color theme="1"/>
      <name val="Arial"/>
      <family val="2"/>
    </font>
    <font>
      <sz val="8"/>
      <name val="Arial"/>
      <family val="2"/>
    </font>
    <font>
      <sz val="8"/>
      <color rgb="FF000000"/>
      <name val="Lato"/>
      <family val="2"/>
    </font>
    <font>
      <b/>
      <sz val="14"/>
      <name val="Arial"/>
      <family val="2"/>
    </font>
    <font>
      <sz val="11"/>
      <name val="Arial"/>
      <family val="2"/>
    </font>
    <font>
      <sz val="11"/>
      <name val="Arial Unicode MS"/>
      <family val="2"/>
    </font>
    <font>
      <vertAlign val="superscript"/>
      <sz val="11"/>
      <name val="Arial"/>
      <family val="2"/>
    </font>
    <font>
      <sz val="11"/>
      <name val="Calibri"/>
      <family val="2"/>
    </font>
    <font>
      <sz val="11"/>
      <name val="Arial Unicode MS"/>
    </font>
    <font>
      <b/>
      <sz val="8"/>
      <name val="Arial"/>
      <family val="2"/>
    </font>
    <font>
      <sz val="9"/>
      <name val="Arial"/>
      <family val="2"/>
    </font>
    <font>
      <sz val="8"/>
      <name val="Arial"/>
      <family val="2"/>
    </font>
    <font>
      <b/>
      <sz val="11"/>
      <color theme="1"/>
      <name val="Calibri"/>
      <family val="2"/>
      <scheme val="minor"/>
    </font>
    <font>
      <sz val="11"/>
      <color theme="0"/>
      <name val="Calibri"/>
      <family val="2"/>
      <scheme val="minor"/>
    </font>
    <font>
      <sz val="10"/>
      <color theme="1"/>
      <name val="Arial"/>
      <family val="2"/>
    </font>
    <font>
      <sz val="10"/>
      <name val="Arial Narrow"/>
      <family val="2"/>
    </font>
    <font>
      <sz val="11"/>
      <color indexed="8"/>
      <name val="Calibri"/>
      <family val="2"/>
    </font>
    <font>
      <sz val="12"/>
      <name val="Arial"/>
      <family val="2"/>
    </font>
    <font>
      <sz val="10"/>
      <name val="Calibri"/>
      <family val="2"/>
      <scheme val="minor"/>
    </font>
    <font>
      <sz val="10"/>
      <color indexed="57"/>
      <name val="Calibri"/>
      <family val="2"/>
      <scheme val="minor"/>
    </font>
    <font>
      <sz val="10"/>
      <color indexed="49"/>
      <name val="Calibri"/>
      <family val="2"/>
      <scheme val="minor"/>
    </font>
    <font>
      <sz val="10"/>
      <color indexed="52"/>
      <name val="Calibri"/>
      <family val="2"/>
      <scheme val="minor"/>
    </font>
    <font>
      <sz val="10"/>
      <color indexed="55"/>
      <name val="Calibri"/>
      <family val="2"/>
      <scheme val="minor"/>
    </font>
    <font>
      <sz val="10"/>
      <color indexed="10"/>
      <name val="Calibri"/>
      <family val="2"/>
      <scheme val="minor"/>
    </font>
    <font>
      <sz val="8"/>
      <name val="Calibri"/>
      <family val="2"/>
      <scheme val="minor"/>
    </font>
    <font>
      <sz val="10"/>
      <color rgb="FF0000FF"/>
      <name val="Calibri"/>
      <family val="2"/>
      <scheme val="minor"/>
    </font>
    <font>
      <b/>
      <sz val="10"/>
      <name val="Calibri"/>
      <family val="2"/>
      <scheme val="minor"/>
    </font>
    <font>
      <sz val="8"/>
      <color indexed="10"/>
      <name val="Calibri"/>
      <family val="2"/>
      <scheme val="minor"/>
    </font>
    <font>
      <sz val="10"/>
      <color indexed="62"/>
      <name val="Calibri"/>
      <family val="2"/>
      <scheme val="minor"/>
    </font>
    <font>
      <b/>
      <sz val="10"/>
      <color indexed="8"/>
      <name val="Calibri"/>
      <family val="2"/>
      <scheme val="minor"/>
    </font>
    <font>
      <b/>
      <sz val="10"/>
      <color rgb="FF0000FF"/>
      <name val="Calibri"/>
      <family val="2"/>
      <scheme val="minor"/>
    </font>
    <font>
      <sz val="12"/>
      <color theme="1"/>
      <name val="Calibri"/>
      <family val="2"/>
    </font>
    <font>
      <u/>
      <sz val="11"/>
      <color theme="10"/>
      <name val="Calibri"/>
      <family val="2"/>
      <scheme val="minor"/>
    </font>
    <font>
      <b/>
      <sz val="9"/>
      <name val="Arial"/>
      <family val="2"/>
    </font>
    <font>
      <sz val="11"/>
      <color rgb="FF006100"/>
      <name val="Calibri"/>
      <family val="2"/>
      <scheme val="minor"/>
    </font>
    <font>
      <b/>
      <sz val="8"/>
      <color theme="1"/>
      <name val="Arial"/>
      <family val="2"/>
    </font>
    <font>
      <b/>
      <sz val="14"/>
      <color theme="1"/>
      <name val="Calibri"/>
      <family val="2"/>
      <scheme val="minor"/>
    </font>
    <font>
      <b/>
      <sz val="12"/>
      <color theme="1"/>
      <name val="Calibri"/>
      <family val="2"/>
      <scheme val="minor"/>
    </font>
    <font>
      <sz val="11"/>
      <color rgb="FF000000"/>
      <name val="Calibri"/>
      <family val="2"/>
      <scheme val="minor"/>
    </font>
    <font>
      <b/>
      <sz val="8"/>
      <color theme="1"/>
      <name val="Calibri"/>
      <family val="2"/>
      <scheme val="minor"/>
    </font>
    <font>
      <b/>
      <sz val="11"/>
      <color rgb="FF000000"/>
      <name val="Calibri"/>
      <family val="2"/>
      <scheme val="minor"/>
    </font>
    <font>
      <b/>
      <i/>
      <sz val="10"/>
      <name val="Arial"/>
      <family val="2"/>
    </font>
    <font>
      <i/>
      <sz val="10"/>
      <name val="Arial"/>
      <family val="2"/>
    </font>
    <font>
      <vertAlign val="superscript"/>
      <sz val="9"/>
      <name val="Arial"/>
      <family val="2"/>
    </font>
    <font>
      <i/>
      <vertAlign val="superscript"/>
      <sz val="10"/>
      <name val="Arial"/>
      <family val="2"/>
    </font>
    <font>
      <sz val="10"/>
      <color rgb="FF202122"/>
      <name val="Arial"/>
      <family val="2"/>
    </font>
    <font>
      <sz val="11"/>
      <color theme="1"/>
      <name val="Calibri"/>
      <family val="2"/>
      <scheme val="minor"/>
    </font>
    <font>
      <b/>
      <sz val="14"/>
      <color rgb="FF000000"/>
      <name val="Calibri"/>
      <family val="2"/>
      <scheme val="minor"/>
    </font>
    <font>
      <b/>
      <sz val="11"/>
      <name val="Calibri"/>
      <family val="2"/>
      <scheme val="minor"/>
    </font>
    <font>
      <i/>
      <sz val="11"/>
      <color theme="1"/>
      <name val="Calibri"/>
      <family val="2"/>
      <scheme val="minor"/>
    </font>
    <font>
      <b/>
      <i/>
      <sz val="11"/>
      <color theme="1"/>
      <name val="Calibri"/>
      <family val="2"/>
      <scheme val="minor"/>
    </font>
    <font>
      <sz val="8"/>
      <color rgb="FF000000"/>
      <name val="Calibri"/>
      <family val="2"/>
      <scheme val="minor"/>
    </font>
    <font>
      <sz val="10"/>
      <color rgb="FF000000"/>
      <name val="Times New Roman"/>
      <family val="1"/>
    </font>
    <font>
      <sz val="10"/>
      <color rgb="FF000000"/>
      <name val="Arial"/>
      <family val="2"/>
    </font>
    <font>
      <sz val="10"/>
      <name val="Arial"/>
      <family val="2"/>
      <charset val="1"/>
    </font>
  </fonts>
  <fills count="30">
    <fill>
      <patternFill patternType="none"/>
    </fill>
    <fill>
      <patternFill patternType="gray125"/>
    </fill>
    <fill>
      <patternFill patternType="solid">
        <fgColor rgb="FFFFCC99"/>
      </patternFill>
    </fill>
    <fill>
      <patternFill patternType="solid">
        <fgColor theme="3"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patternFill>
    </fill>
    <fill>
      <patternFill patternType="solid">
        <fgColor indexed="9"/>
        <bgColor indexed="64"/>
      </patternFill>
    </fill>
    <fill>
      <patternFill patternType="solid">
        <fgColor rgb="FFECF1F8"/>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6EFCE"/>
      </patternFill>
    </fill>
    <fill>
      <patternFill patternType="solid">
        <fgColor theme="9" tint="0.39997558519241921"/>
        <bgColor indexed="64"/>
      </patternFill>
    </fill>
    <fill>
      <patternFill patternType="solid">
        <fgColor theme="5"/>
        <bgColor indexed="64"/>
      </patternFill>
    </fill>
    <fill>
      <patternFill patternType="solid">
        <fgColor rgb="FFEACA6B"/>
        <bgColor indexed="64"/>
      </patternFill>
    </fill>
    <fill>
      <patternFill patternType="solid">
        <fgColor rgb="FFFFE177"/>
        <bgColor indexed="64"/>
      </patternFill>
    </fill>
    <fill>
      <patternFill patternType="solid">
        <fgColor rgb="FFFDEFBB"/>
        <bgColor indexed="64"/>
      </patternFill>
    </fill>
    <fill>
      <patternFill patternType="solid">
        <fgColor theme="2" tint="-9.9978637043366805E-2"/>
        <bgColor indexed="64"/>
      </patternFill>
    </fill>
  </fills>
  <borders count="57">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rgb="FF00B050"/>
      </left>
      <right style="thin">
        <color rgb="FF00B050"/>
      </right>
      <top style="thin">
        <color rgb="FF00B050"/>
      </top>
      <bottom style="thin">
        <color rgb="FF00B050"/>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rgb="FF00B050"/>
      </bottom>
      <diagonal/>
    </border>
    <border>
      <left/>
      <right style="thin">
        <color rgb="FF00B050"/>
      </right>
      <top/>
      <bottom style="thin">
        <color rgb="FF00B05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dotted">
        <color indexed="64"/>
      </left>
      <right style="dotted">
        <color indexed="64"/>
      </right>
      <top style="dotted">
        <color indexed="64"/>
      </top>
      <bottom style="dotted">
        <color indexed="64"/>
      </bottom>
      <diagonal/>
    </border>
    <border>
      <left style="thin">
        <color rgb="FF00B050"/>
      </left>
      <right style="thin">
        <color rgb="FF00B050"/>
      </right>
      <top/>
      <bottom style="thin">
        <color rgb="FF00B050"/>
      </bottom>
      <diagonal/>
    </border>
    <border>
      <left style="thin">
        <color rgb="FF00B050"/>
      </left>
      <right/>
      <top/>
      <bottom style="thin">
        <color rgb="FF00B050"/>
      </bottom>
      <diagonal/>
    </border>
    <border>
      <left/>
      <right style="thin">
        <color rgb="FF00B050"/>
      </right>
      <top style="thin">
        <color rgb="FF00B050"/>
      </top>
      <bottom/>
      <diagonal/>
    </border>
    <border>
      <left style="thin">
        <color rgb="FF00B050"/>
      </left>
      <right style="thin">
        <color rgb="FF00B050"/>
      </right>
      <top style="thin">
        <color rgb="FF00B050"/>
      </top>
      <bottom/>
      <diagonal/>
    </border>
    <border>
      <left style="thin">
        <color rgb="FF00B050"/>
      </left>
      <right/>
      <top style="thin">
        <color rgb="FF00B050"/>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indexed="64"/>
      </left>
      <right style="thin">
        <color indexed="64"/>
      </right>
      <top/>
      <bottom/>
      <diagonal/>
    </border>
    <border>
      <left/>
      <right/>
      <top style="thin">
        <color theme="4"/>
      </top>
      <bottom style="double">
        <color theme="4"/>
      </bottom>
      <diagonal/>
    </border>
    <border>
      <left style="thin">
        <color rgb="FF23919D"/>
      </left>
      <right/>
      <top style="thin">
        <color rgb="FF23919D"/>
      </top>
      <bottom style="thin">
        <color rgb="FF23919D"/>
      </bottom>
      <diagonal/>
    </border>
    <border>
      <left/>
      <right/>
      <top style="thin">
        <color rgb="FF23919D"/>
      </top>
      <bottom style="thin">
        <color rgb="FF23919D"/>
      </bottom>
      <diagonal/>
    </border>
    <border>
      <left/>
      <right style="thin">
        <color rgb="FF23919D"/>
      </right>
      <top style="thin">
        <color rgb="FF23919D"/>
      </top>
      <bottom style="thin">
        <color rgb="FF23919D"/>
      </bottom>
      <diagonal/>
    </border>
    <border>
      <left style="thin">
        <color rgb="FF23919D"/>
      </left>
      <right style="thin">
        <color rgb="FF23919D"/>
      </right>
      <top style="thin">
        <color rgb="FF23919D"/>
      </top>
      <bottom/>
      <diagonal/>
    </border>
    <border>
      <left style="thin">
        <color rgb="FF23919D"/>
      </left>
      <right style="thin">
        <color rgb="FF23919D"/>
      </right>
      <top style="thin">
        <color rgb="FF23919D"/>
      </top>
      <bottom style="thin">
        <color rgb="FF23919D"/>
      </bottom>
      <diagonal/>
    </border>
    <border>
      <left/>
      <right style="thin">
        <color indexed="64"/>
      </right>
      <top/>
      <bottom style="thin">
        <color indexed="64"/>
      </bottom>
      <diagonal/>
    </border>
    <border>
      <left/>
      <right/>
      <top style="thin">
        <color rgb="FF000000"/>
      </top>
      <bottom/>
      <diagonal/>
    </border>
    <border>
      <left/>
      <right style="thin">
        <color rgb="FF000000"/>
      </right>
      <top style="thin">
        <color rgb="FF000000"/>
      </top>
      <bottom style="thin">
        <color rgb="FF000000"/>
      </bottom>
      <diagonal/>
    </border>
  </borders>
  <cellStyleXfs count="79">
    <xf numFmtId="0" fontId="0" fillId="0" borderId="0"/>
    <xf numFmtId="44" fontId="18" fillId="0" borderId="0" applyFont="0" applyFill="0" applyBorder="0" applyAlignment="0" applyProtection="0"/>
    <xf numFmtId="9" fontId="18" fillId="0" borderId="0" applyFont="0" applyFill="0" applyBorder="0" applyAlignment="0" applyProtection="0"/>
    <xf numFmtId="0" fontId="19" fillId="2" borderId="1" applyNumberFormat="0" applyAlignment="0" applyProtection="0"/>
    <xf numFmtId="0" fontId="20" fillId="0" borderId="0"/>
    <xf numFmtId="0" fontId="24" fillId="0" borderId="0" applyNumberFormat="0" applyFill="0" applyBorder="0" applyAlignment="0" applyProtection="0"/>
    <xf numFmtId="9" fontId="27" fillId="0" borderId="0" applyFont="0" applyFill="0" applyBorder="0" applyAlignment="0" applyProtection="0"/>
    <xf numFmtId="169" fontId="20" fillId="0" borderId="0" applyFont="0" applyFill="0" applyBorder="0" applyAlignment="0" applyProtection="0"/>
    <xf numFmtId="0" fontId="20" fillId="0" borderId="0"/>
    <xf numFmtId="9" fontId="20" fillId="0" borderId="0" applyFont="0" applyFill="0" applyBorder="0" applyAlignment="0" applyProtection="0"/>
    <xf numFmtId="0" fontId="17" fillId="0" borderId="0"/>
    <xf numFmtId="0" fontId="20" fillId="0" borderId="0"/>
    <xf numFmtId="0" fontId="20" fillId="0" borderId="0"/>
    <xf numFmtId="0" fontId="41" fillId="18" borderId="0" applyNumberFormat="0" applyBorder="0" applyAlignment="0" applyProtection="0"/>
    <xf numFmtId="0" fontId="16" fillId="0" borderId="0"/>
    <xf numFmtId="164" fontId="20" fillId="0" borderId="0" applyFont="0" applyFill="0" applyBorder="0" applyAlignment="0" applyProtection="0"/>
    <xf numFmtId="9" fontId="20" fillId="0" borderId="0" applyFont="0" applyFill="0" applyBorder="0" applyAlignment="0" applyProtection="0"/>
    <xf numFmtId="164" fontId="16" fillId="0" borderId="0" applyFont="0" applyFill="0" applyBorder="0" applyAlignment="0" applyProtection="0"/>
    <xf numFmtId="179" fontId="20" fillId="0" borderId="0" applyFont="0" applyFill="0" applyBorder="0" applyAlignment="0" applyProtection="0"/>
    <xf numFmtId="164" fontId="20" fillId="0" borderId="0" applyFont="0" applyFill="0" applyBorder="0" applyAlignment="0" applyProtection="0"/>
    <xf numFmtId="181" fontId="20" fillId="0" borderId="0" applyFont="0" applyFill="0" applyBorder="0" applyAlignment="0" applyProtection="0"/>
    <xf numFmtId="0" fontId="16" fillId="0" borderId="0"/>
    <xf numFmtId="167" fontId="44" fillId="0" borderId="0" applyFont="0" applyFill="0" applyBorder="0" applyAlignment="0" applyProtection="0"/>
    <xf numFmtId="0" fontId="20" fillId="0" borderId="0"/>
    <xf numFmtId="0" fontId="43" fillId="0" borderId="0"/>
    <xf numFmtId="186"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0" fontId="27" fillId="0" borderId="0"/>
    <xf numFmtId="189" fontId="27" fillId="0" borderId="0" applyFont="0" applyFill="0" applyBorder="0" applyAlignment="0" applyProtection="0"/>
    <xf numFmtId="0" fontId="20" fillId="0" borderId="0"/>
    <xf numFmtId="0" fontId="20" fillId="0" borderId="0"/>
    <xf numFmtId="9" fontId="16" fillId="0" borderId="0" applyFont="0" applyFill="0" applyBorder="0" applyAlignment="0" applyProtection="0"/>
    <xf numFmtId="0" fontId="16" fillId="0" borderId="0"/>
    <xf numFmtId="0" fontId="20" fillId="0" borderId="0"/>
    <xf numFmtId="0" fontId="20" fillId="0" borderId="0"/>
    <xf numFmtId="42" fontId="20" fillId="0" borderId="0" applyFont="0" applyFill="0" applyBorder="0" applyAlignment="0" applyProtection="0"/>
    <xf numFmtId="193" fontId="20" fillId="0" borderId="0" applyFont="0" applyFill="0" applyBorder="0" applyAlignment="0" applyProtection="0"/>
    <xf numFmtId="0" fontId="15" fillId="0" borderId="0"/>
    <xf numFmtId="9" fontId="59" fillId="0" borderId="0" applyFont="0" applyFill="0" applyBorder="0" applyAlignment="0" applyProtection="0"/>
    <xf numFmtId="164" fontId="20" fillId="0" borderId="0" applyFont="0" applyFill="0" applyBorder="0" applyAlignment="0" applyProtection="0"/>
    <xf numFmtId="42" fontId="15" fillId="0" borderId="0" applyFon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27" fillId="0" borderId="0"/>
    <xf numFmtId="0" fontId="59" fillId="0" borderId="0"/>
    <xf numFmtId="189" fontId="27" fillId="0" borderId="0" applyFont="0" applyFill="0" applyBorder="0" applyAlignment="0" applyProtection="0"/>
    <xf numFmtId="43" fontId="15" fillId="0" borderId="0" applyFont="0" applyFill="0" applyBorder="0" applyAlignment="0" applyProtection="0"/>
    <xf numFmtId="44" fontId="27" fillId="0" borderId="0" applyFont="0" applyFill="0" applyBorder="0" applyAlignment="0" applyProtection="0"/>
    <xf numFmtId="0" fontId="62" fillId="23" borderId="0" applyNumberFormat="0" applyBorder="0" applyAlignment="0" applyProtection="0"/>
    <xf numFmtId="0" fontId="40" fillId="0" borderId="48" applyNumberFormat="0" applyFill="0" applyAlignment="0" applyProtection="0"/>
    <xf numFmtId="0" fontId="14" fillId="0" borderId="0"/>
    <xf numFmtId="42" fontId="14" fillId="0" borderId="0" applyFont="0" applyFill="0" applyBorder="0" applyAlignment="0" applyProtection="0"/>
    <xf numFmtId="0" fontId="13" fillId="0" borderId="0"/>
    <xf numFmtId="0" fontId="12" fillId="0" borderId="0"/>
    <xf numFmtId="42" fontId="12" fillId="0" borderId="0" applyFont="0" applyFill="0" applyBorder="0" applyAlignment="0" applyProtection="0"/>
    <xf numFmtId="42" fontId="12" fillId="0" borderId="0" applyFont="0" applyFill="0" applyBorder="0" applyAlignment="0" applyProtection="0"/>
    <xf numFmtId="0" fontId="11" fillId="0" borderId="0"/>
    <xf numFmtId="42" fontId="11" fillId="0" borderId="0" applyFont="0" applyFill="0" applyBorder="0" applyAlignment="0" applyProtection="0"/>
    <xf numFmtId="0" fontId="10" fillId="0" borderId="0"/>
    <xf numFmtId="42" fontId="10" fillId="0" borderId="0" applyFont="0" applyFill="0" applyBorder="0" applyAlignment="0" applyProtection="0"/>
    <xf numFmtId="44" fontId="10" fillId="0" borderId="0" applyFont="0" applyFill="0" applyBorder="0" applyAlignment="0" applyProtection="0"/>
    <xf numFmtId="0" fontId="9" fillId="0" borderId="0"/>
    <xf numFmtId="42" fontId="9" fillId="0" borderId="0" applyFont="0" applyFill="0" applyBorder="0" applyAlignment="0" applyProtection="0"/>
    <xf numFmtId="44" fontId="9" fillId="0" borderId="0" applyFont="0" applyFill="0" applyBorder="0" applyAlignment="0" applyProtection="0"/>
    <xf numFmtId="0" fontId="8" fillId="0" borderId="0"/>
    <xf numFmtId="42" fontId="8" fillId="0" borderId="0" applyFont="0" applyFill="0" applyBorder="0" applyAlignment="0" applyProtection="0"/>
    <xf numFmtId="44" fontId="8" fillId="0" borderId="0" applyFont="0" applyFill="0" applyBorder="0" applyAlignment="0" applyProtection="0"/>
    <xf numFmtId="0" fontId="7" fillId="0" borderId="0"/>
    <xf numFmtId="0" fontId="6" fillId="0" borderId="0"/>
    <xf numFmtId="42" fontId="6" fillId="0" borderId="0" applyFont="0" applyFill="0" applyBorder="0" applyAlignment="0" applyProtection="0"/>
    <xf numFmtId="0" fontId="80" fillId="0" borderId="0"/>
    <xf numFmtId="0" fontId="5" fillId="0" borderId="0"/>
    <xf numFmtId="0" fontId="4" fillId="0" borderId="0"/>
    <xf numFmtId="42" fontId="4" fillId="0" borderId="0" applyFont="0" applyFill="0" applyBorder="0" applyAlignment="0" applyProtection="0"/>
    <xf numFmtId="44" fontId="4" fillId="0" borderId="0" applyFont="0" applyFill="0" applyBorder="0" applyAlignment="0" applyProtection="0"/>
    <xf numFmtId="0" fontId="3" fillId="0" borderId="0"/>
    <xf numFmtId="42" fontId="3" fillId="0" borderId="0" applyFont="0" applyFill="0" applyBorder="0" applyAlignment="0" applyProtection="0"/>
    <xf numFmtId="44" fontId="3" fillId="0" borderId="0" applyFont="0" applyFill="0" applyBorder="0" applyAlignment="0" applyProtection="0"/>
  </cellStyleXfs>
  <cellXfs count="533">
    <xf numFmtId="0" fontId="0" fillId="0" borderId="0" xfId="0"/>
    <xf numFmtId="0" fontId="20" fillId="0" borderId="0" xfId="0" applyFont="1" applyAlignment="1">
      <alignment wrapText="1"/>
    </xf>
    <xf numFmtId="0" fontId="20" fillId="0" borderId="0" xfId="0" applyFont="1" applyAlignment="1">
      <alignment horizontal="center" wrapText="1"/>
    </xf>
    <xf numFmtId="0" fontId="0" fillId="0" borderId="0" xfId="0" applyAlignment="1">
      <alignment horizontal="center"/>
    </xf>
    <xf numFmtId="0" fontId="20" fillId="6" borderId="2" xfId="0" applyFont="1" applyFill="1" applyBorder="1" applyAlignment="1">
      <alignment horizontal="center"/>
    </xf>
    <xf numFmtId="0" fontId="20" fillId="6" borderId="2" xfId="0" applyFont="1" applyFill="1" applyBorder="1"/>
    <xf numFmtId="0" fontId="20" fillId="0" borderId="2" xfId="0" applyFont="1" applyBorder="1"/>
    <xf numFmtId="0" fontId="19" fillId="2" borderId="1" xfId="3" applyAlignment="1">
      <alignment horizontal="center"/>
    </xf>
    <xf numFmtId="1" fontId="19" fillId="2" borderId="1" xfId="3" applyNumberFormat="1"/>
    <xf numFmtId="0" fontId="0" fillId="0" borderId="2" xfId="0" applyBorder="1"/>
    <xf numFmtId="165" fontId="0" fillId="0" borderId="2" xfId="0" applyNumberFormat="1" applyBorder="1"/>
    <xf numFmtId="165" fontId="19" fillId="2" borderId="1" xfId="3" applyNumberFormat="1"/>
    <xf numFmtId="0" fontId="0" fillId="5" borderId="2" xfId="0" applyFill="1" applyBorder="1"/>
    <xf numFmtId="0" fontId="20" fillId="6" borderId="0" xfId="0" applyFont="1" applyFill="1" applyAlignment="1">
      <alignment horizontal="center"/>
    </xf>
    <xf numFmtId="0" fontId="20" fillId="7" borderId="4" xfId="0" applyFont="1" applyFill="1" applyBorder="1" applyAlignment="1">
      <alignment horizontal="center"/>
    </xf>
    <xf numFmtId="0" fontId="20" fillId="7" borderId="4" xfId="0" applyFont="1" applyFill="1" applyBorder="1"/>
    <xf numFmtId="1" fontId="19" fillId="2" borderId="2" xfId="3" applyNumberFormat="1" applyBorder="1" applyAlignment="1">
      <alignment horizontal="center"/>
    </xf>
    <xf numFmtId="2" fontId="0" fillId="0" borderId="2" xfId="0" applyNumberFormat="1" applyBorder="1" applyAlignment="1">
      <alignment horizontal="center"/>
    </xf>
    <xf numFmtId="0" fontId="0" fillId="0" borderId="2" xfId="0" applyBorder="1" applyAlignment="1">
      <alignment horizontal="center"/>
    </xf>
    <xf numFmtId="3" fontId="20" fillId="0" borderId="2" xfId="4" applyNumberFormat="1" applyBorder="1" applyAlignment="1">
      <alignment horizontal="left"/>
    </xf>
    <xf numFmtId="0" fontId="23" fillId="9" borderId="5" xfId="0" applyFont="1" applyFill="1" applyBorder="1" applyAlignment="1">
      <alignment vertical="center"/>
    </xf>
    <xf numFmtId="42" fontId="0" fillId="0" borderId="5" xfId="0" applyNumberFormat="1" applyBorder="1" applyAlignment="1">
      <alignment horizontal="center" vertical="center"/>
    </xf>
    <xf numFmtId="0" fontId="0" fillId="0" borderId="5" xfId="0" applyBorder="1" applyAlignment="1">
      <alignment horizontal="center"/>
    </xf>
    <xf numFmtId="42" fontId="0" fillId="0" borderId="5" xfId="0" applyNumberFormat="1" applyBorder="1" applyAlignment="1">
      <alignment vertical="center"/>
    </xf>
    <xf numFmtId="0" fontId="24" fillId="0" borderId="0" xfId="5" applyAlignment="1">
      <alignment horizontal="center"/>
    </xf>
    <xf numFmtId="0" fontId="24" fillId="0" borderId="5" xfId="5" applyBorder="1" applyAlignment="1">
      <alignment horizontal="center"/>
    </xf>
    <xf numFmtId="0" fontId="20" fillId="0" borderId="0" xfId="0" applyFont="1"/>
    <xf numFmtId="166" fontId="0" fillId="10" borderId="2" xfId="0" applyNumberFormat="1" applyFill="1" applyBorder="1"/>
    <xf numFmtId="166" fontId="19" fillId="10" borderId="2" xfId="3" applyNumberFormat="1" applyFill="1" applyBorder="1"/>
    <xf numFmtId="9" fontId="19" fillId="2" borderId="2" xfId="3" applyNumberFormat="1" applyBorder="1"/>
    <xf numFmtId="0" fontId="20" fillId="0" borderId="2" xfId="0" applyFont="1" applyBorder="1" applyAlignment="1">
      <alignment horizontal="center" vertical="center"/>
    </xf>
    <xf numFmtId="2" fontId="0" fillId="0" borderId="0" xfId="0" applyNumberFormat="1" applyAlignment="1">
      <alignment horizontal="center"/>
    </xf>
    <xf numFmtId="166" fontId="19" fillId="2" borderId="2" xfId="3" applyNumberFormat="1" applyBorder="1"/>
    <xf numFmtId="166" fontId="0" fillId="0" borderId="2" xfId="0" applyNumberFormat="1" applyBorder="1"/>
    <xf numFmtId="9" fontId="0" fillId="0" borderId="2" xfId="0" applyNumberFormat="1" applyBorder="1"/>
    <xf numFmtId="0" fontId="24" fillId="0" borderId="2" xfId="5" applyBorder="1"/>
    <xf numFmtId="17" fontId="20" fillId="0" borderId="2" xfId="0" applyNumberFormat="1" applyFont="1" applyBorder="1" applyAlignment="1">
      <alignment horizontal="center"/>
    </xf>
    <xf numFmtId="166" fontId="0" fillId="0" borderId="2" xfId="0" applyNumberFormat="1" applyBorder="1" applyAlignment="1">
      <alignment vertical="center"/>
    </xf>
    <xf numFmtId="17" fontId="24" fillId="0" borderId="2" xfId="5" applyNumberFormat="1" applyBorder="1" applyAlignment="1">
      <alignment horizontal="left"/>
    </xf>
    <xf numFmtId="0" fontId="20" fillId="0" borderId="0" xfId="0" applyFont="1" applyAlignment="1">
      <alignment vertical="center"/>
    </xf>
    <xf numFmtId="166" fontId="0" fillId="0" borderId="0" xfId="0" applyNumberFormat="1" applyAlignment="1">
      <alignment horizontal="right" vertical="center"/>
    </xf>
    <xf numFmtId="9" fontId="0" fillId="0" borderId="0" xfId="0" applyNumberFormat="1" applyAlignment="1">
      <alignment horizontal="right"/>
    </xf>
    <xf numFmtId="166" fontId="0" fillId="0" borderId="0" xfId="0" applyNumberFormat="1"/>
    <xf numFmtId="0" fontId="24" fillId="0" borderId="0" xfId="5" applyBorder="1"/>
    <xf numFmtId="17" fontId="20" fillId="0" borderId="0" xfId="0" applyNumberFormat="1" applyFont="1" applyAlignment="1">
      <alignment horizontal="center"/>
    </xf>
    <xf numFmtId="0" fontId="0" fillId="0" borderId="0" xfId="0" applyAlignment="1">
      <alignment vertical="center"/>
    </xf>
    <xf numFmtId="0" fontId="20" fillId="0" borderId="0" xfId="0" applyFont="1" applyAlignment="1">
      <alignment horizontal="right"/>
    </xf>
    <xf numFmtId="0" fontId="20" fillId="0" borderId="0" xfId="0" applyFont="1" applyAlignment="1">
      <alignment vertical="center" wrapText="1"/>
    </xf>
    <xf numFmtId="0" fontId="26" fillId="0" borderId="2" xfId="0" applyFont="1" applyBorder="1" applyAlignment="1">
      <alignment horizontal="center" vertical="center" wrapText="1"/>
    </xf>
    <xf numFmtId="0" fontId="26" fillId="0" borderId="7" xfId="0" applyFont="1" applyBorder="1" applyAlignment="1">
      <alignment horizontal="center" vertical="center" wrapText="1"/>
    </xf>
    <xf numFmtId="0" fontId="23"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 xfId="0" applyFont="1" applyBorder="1" applyAlignment="1">
      <alignment horizontal="justify" vertical="center" wrapText="1"/>
    </xf>
    <xf numFmtId="3" fontId="20" fillId="0" borderId="2" xfId="0" applyNumberFormat="1" applyFont="1" applyBorder="1" applyAlignment="1">
      <alignment horizontal="center" vertical="center" wrapText="1"/>
    </xf>
    <xf numFmtId="167" fontId="20" fillId="0" borderId="2" xfId="0" applyNumberFormat="1" applyFont="1" applyBorder="1" applyAlignment="1">
      <alignment horizontal="right" vertical="center" wrapText="1"/>
    </xf>
    <xf numFmtId="44" fontId="20" fillId="0" borderId="0" xfId="0" applyNumberFormat="1" applyFont="1" applyAlignment="1">
      <alignment vertical="center"/>
    </xf>
    <xf numFmtId="167" fontId="23" fillId="11" borderId="2" xfId="0" applyNumberFormat="1" applyFont="1" applyFill="1" applyBorder="1" applyAlignment="1">
      <alignment horizontal="right" vertical="center"/>
    </xf>
    <xf numFmtId="167" fontId="23" fillId="0" borderId="2" xfId="0" applyNumberFormat="1" applyFont="1" applyBorder="1" applyAlignment="1">
      <alignment horizontal="right" vertical="center"/>
    </xf>
    <xf numFmtId="167" fontId="23" fillId="12" borderId="2" xfId="0" applyNumberFormat="1" applyFont="1" applyFill="1" applyBorder="1" applyAlignment="1">
      <alignment horizontal="right" vertical="center"/>
    </xf>
    <xf numFmtId="168" fontId="23" fillId="0" borderId="2" xfId="2" applyNumberFormat="1" applyFont="1" applyFill="1" applyBorder="1" applyAlignment="1">
      <alignment horizontal="right" vertical="center"/>
    </xf>
    <xf numFmtId="167" fontId="23" fillId="14" borderId="2" xfId="0" applyNumberFormat="1" applyFont="1" applyFill="1" applyBorder="1" applyAlignment="1">
      <alignment horizontal="right" vertical="center"/>
    </xf>
    <xf numFmtId="168" fontId="23" fillId="0" borderId="2" xfId="0" applyNumberFormat="1" applyFont="1" applyBorder="1" applyAlignment="1">
      <alignment horizontal="center" vertical="center"/>
    </xf>
    <xf numFmtId="0" fontId="23" fillId="15" borderId="2" xfId="0" applyFont="1" applyFill="1" applyBorder="1" applyAlignment="1">
      <alignment horizontal="right" vertical="center"/>
    </xf>
    <xf numFmtId="167" fontId="23" fillId="15" borderId="2" xfId="0" applyNumberFormat="1" applyFont="1" applyFill="1" applyBorder="1" applyAlignment="1">
      <alignment horizontal="right" vertical="center"/>
    </xf>
    <xf numFmtId="0" fontId="20" fillId="0" borderId="0" xfId="4"/>
    <xf numFmtId="0" fontId="23" fillId="0" borderId="0" xfId="4" applyFont="1" applyAlignment="1">
      <alignment vertical="center" wrapText="1"/>
    </xf>
    <xf numFmtId="0" fontId="23" fillId="0" borderId="0" xfId="4" quotePrefix="1" applyFont="1" applyAlignment="1">
      <alignment vertical="center" wrapText="1"/>
    </xf>
    <xf numFmtId="0" fontId="23" fillId="0" borderId="0" xfId="4" applyFont="1" applyAlignment="1">
      <alignment horizontal="left" vertical="center"/>
    </xf>
    <xf numFmtId="0" fontId="23" fillId="0" borderId="16" xfId="4" applyFont="1" applyBorder="1" applyAlignment="1">
      <alignment horizontal="center" vertical="center"/>
    </xf>
    <xf numFmtId="0" fontId="23" fillId="0" borderId="0" xfId="4" quotePrefix="1" applyFont="1" applyAlignment="1">
      <alignment horizontal="left"/>
    </xf>
    <xf numFmtId="0" fontId="23" fillId="0" borderId="0" xfId="4" applyFont="1" applyAlignment="1">
      <alignment horizontal="right"/>
    </xf>
    <xf numFmtId="0" fontId="23" fillId="0" borderId="16" xfId="4" applyFont="1" applyBorder="1"/>
    <xf numFmtId="0" fontId="23" fillId="0" borderId="13" xfId="4" applyFont="1" applyBorder="1" applyAlignment="1">
      <alignment horizontal="center"/>
    </xf>
    <xf numFmtId="0" fontId="23" fillId="0" borderId="16" xfId="4" applyFont="1" applyBorder="1" applyAlignment="1">
      <alignment horizontal="center"/>
    </xf>
    <xf numFmtId="0" fontId="20" fillId="0" borderId="13" xfId="4" applyBorder="1" applyAlignment="1">
      <alignment horizontal="justify" vertical="center"/>
    </xf>
    <xf numFmtId="0" fontId="20" fillId="0" borderId="16" xfId="4" applyBorder="1" applyAlignment="1">
      <alignment horizontal="center" vertical="center"/>
    </xf>
    <xf numFmtId="3" fontId="20" fillId="0" borderId="16" xfId="4" applyNumberFormat="1" applyBorder="1" applyAlignment="1">
      <alignment horizontal="center" vertical="center"/>
    </xf>
    <xf numFmtId="171" fontId="20" fillId="0" borderId="16" xfId="4" applyNumberFormat="1" applyBorder="1" applyAlignment="1">
      <alignment horizontal="justify" vertical="center"/>
    </xf>
    <xf numFmtId="0" fontId="20" fillId="0" borderId="13" xfId="4" applyBorder="1" applyAlignment="1">
      <alignment horizontal="left"/>
    </xf>
    <xf numFmtId="0" fontId="20" fillId="0" borderId="16" xfId="4" applyBorder="1" applyAlignment="1">
      <alignment horizontal="center"/>
    </xf>
    <xf numFmtId="3" fontId="20" fillId="0" borderId="16" xfId="4" applyNumberFormat="1" applyBorder="1" applyAlignment="1">
      <alignment horizontal="center"/>
    </xf>
    <xf numFmtId="4" fontId="20" fillId="0" borderId="16" xfId="4" applyNumberFormat="1" applyBorder="1" applyAlignment="1">
      <alignment horizontal="right"/>
    </xf>
    <xf numFmtId="0" fontId="23" fillId="0" borderId="0" xfId="4" applyFont="1"/>
    <xf numFmtId="0" fontId="23" fillId="0" borderId="16" xfId="4" applyFont="1" applyBorder="1" applyAlignment="1">
      <alignment horizontal="right"/>
    </xf>
    <xf numFmtId="171" fontId="23" fillId="0" borderId="16" xfId="4" applyNumberFormat="1" applyFont="1" applyBorder="1" applyAlignment="1">
      <alignment horizontal="right"/>
    </xf>
    <xf numFmtId="0" fontId="23" fillId="0" borderId="17" xfId="4" applyFont="1" applyBorder="1"/>
    <xf numFmtId="171" fontId="20" fillId="0" borderId="16" xfId="4" applyNumberFormat="1" applyBorder="1" applyAlignment="1">
      <alignment horizontal="right"/>
    </xf>
    <xf numFmtId="4" fontId="20" fillId="0" borderId="16" xfId="4" applyNumberFormat="1" applyBorder="1" applyAlignment="1">
      <alignment horizontal="center"/>
    </xf>
    <xf numFmtId="3" fontId="20" fillId="0" borderId="16" xfId="4" applyNumberFormat="1" applyBorder="1" applyAlignment="1">
      <alignment horizontal="right"/>
    </xf>
    <xf numFmtId="3" fontId="20" fillId="0" borderId="0" xfId="4" applyNumberFormat="1" applyAlignment="1">
      <alignment horizontal="right"/>
    </xf>
    <xf numFmtId="3" fontId="20" fillId="0" borderId="0" xfId="4" applyNumberFormat="1"/>
    <xf numFmtId="3" fontId="23" fillId="0" borderId="16" xfId="4" applyNumberFormat="1" applyFont="1" applyBorder="1" applyAlignment="1">
      <alignment horizontal="center"/>
    </xf>
    <xf numFmtId="0" fontId="20" fillId="0" borderId="16" xfId="4" applyBorder="1" applyAlignment="1">
      <alignment horizontal="justify" vertical="center" wrapText="1"/>
    </xf>
    <xf numFmtId="42" fontId="20" fillId="0" borderId="16" xfId="4" applyNumberFormat="1" applyBorder="1" applyAlignment="1">
      <alignment horizontal="center" vertical="center"/>
    </xf>
    <xf numFmtId="171" fontId="20" fillId="0" borderId="16" xfId="7" applyNumberFormat="1" applyBorder="1" applyAlignment="1">
      <alignment horizontal="center" vertical="center"/>
    </xf>
    <xf numFmtId="4" fontId="20" fillId="0" borderId="16" xfId="4" applyNumberFormat="1" applyBorder="1" applyAlignment="1">
      <alignment horizontal="center" vertical="center"/>
    </xf>
    <xf numFmtId="0" fontId="23" fillId="0" borderId="18" xfId="4" applyFont="1" applyBorder="1" applyAlignment="1">
      <alignment horizontal="right"/>
    </xf>
    <xf numFmtId="3" fontId="20" fillId="0" borderId="0" xfId="4" applyNumberFormat="1" applyAlignment="1">
      <alignment horizontal="center" vertical="center"/>
    </xf>
    <xf numFmtId="0" fontId="20" fillId="0" borderId="0" xfId="4" applyAlignment="1">
      <alignment horizontal="center" vertical="center"/>
    </xf>
    <xf numFmtId="0" fontId="20" fillId="0" borderId="16" xfId="4" applyBorder="1" applyAlignment="1">
      <alignment horizontal="left"/>
    </xf>
    <xf numFmtId="171" fontId="20" fillId="0" borderId="16" xfId="4" applyNumberFormat="1" applyBorder="1" applyAlignment="1">
      <alignment horizontal="center"/>
    </xf>
    <xf numFmtId="171" fontId="23" fillId="0" borderId="16" xfId="4" applyNumberFormat="1" applyFont="1" applyBorder="1" applyAlignment="1">
      <alignment horizontal="right" vertical="center"/>
    </xf>
    <xf numFmtId="0" fontId="30" fillId="0" borderId="0" xfId="8" applyFont="1"/>
    <xf numFmtId="0" fontId="30" fillId="0" borderId="0" xfId="8" quotePrefix="1" applyFont="1" applyAlignment="1">
      <alignment horizontal="left"/>
    </xf>
    <xf numFmtId="0" fontId="20" fillId="0" borderId="13" xfId="4" quotePrefix="1" applyBorder="1" applyAlignment="1">
      <alignment horizontal="left" vertical="center" wrapText="1"/>
    </xf>
    <xf numFmtId="0" fontId="20" fillId="0" borderId="16" xfId="4" applyBorder="1"/>
    <xf numFmtId="172" fontId="20" fillId="0" borderId="16" xfId="4" applyNumberFormat="1" applyBorder="1" applyAlignment="1">
      <alignment horizontal="center"/>
    </xf>
    <xf numFmtId="0" fontId="20" fillId="0" borderId="16" xfId="0" applyFont="1" applyBorder="1" applyAlignment="1">
      <alignment horizontal="center"/>
    </xf>
    <xf numFmtId="171" fontId="20" fillId="0" borderId="0" xfId="4" applyNumberFormat="1"/>
    <xf numFmtId="173" fontId="20" fillId="0" borderId="0" xfId="4" applyNumberFormat="1"/>
    <xf numFmtId="171" fontId="23" fillId="0" borderId="18" xfId="4" applyNumberFormat="1" applyFont="1" applyBorder="1" applyAlignment="1">
      <alignment horizontal="right"/>
    </xf>
    <xf numFmtId="0" fontId="20" fillId="0" borderId="19" xfId="0" applyFont="1" applyBorder="1"/>
    <xf numFmtId="0" fontId="0" fillId="0" borderId="20" xfId="0" applyBorder="1"/>
    <xf numFmtId="10" fontId="0" fillId="0" borderId="21" xfId="0" applyNumberFormat="1" applyBorder="1"/>
    <xf numFmtId="0" fontId="0" fillId="0" borderId="19" xfId="0" applyBorder="1"/>
    <xf numFmtId="0" fontId="23" fillId="5" borderId="19" xfId="0" applyFont="1" applyFill="1" applyBorder="1"/>
    <xf numFmtId="0" fontId="0" fillId="5" borderId="20" xfId="0" applyFill="1" applyBorder="1"/>
    <xf numFmtId="0" fontId="0" fillId="5" borderId="21" xfId="0" applyFill="1" applyBorder="1"/>
    <xf numFmtId="0" fontId="23" fillId="5" borderId="20" xfId="0" applyFont="1" applyFill="1" applyBorder="1"/>
    <xf numFmtId="0" fontId="23" fillId="5" borderId="21" xfId="0" applyFont="1" applyFill="1" applyBorder="1"/>
    <xf numFmtId="0" fontId="23" fillId="9" borderId="19" xfId="0" applyFont="1" applyFill="1" applyBorder="1"/>
    <xf numFmtId="0" fontId="23" fillId="9" borderId="20" xfId="0" applyFont="1" applyFill="1" applyBorder="1"/>
    <xf numFmtId="10" fontId="23" fillId="9" borderId="21" xfId="0" applyNumberFormat="1" applyFont="1" applyFill="1" applyBorder="1"/>
    <xf numFmtId="0" fontId="32" fillId="0" borderId="0" xfId="8" applyFont="1"/>
    <xf numFmtId="168" fontId="32" fillId="0" borderId="0" xfId="8" applyNumberFormat="1" applyFont="1"/>
    <xf numFmtId="0" fontId="32" fillId="17" borderId="0" xfId="8" applyFont="1" applyFill="1"/>
    <xf numFmtId="0" fontId="25" fillId="0" borderId="0" xfId="8" applyFont="1" applyAlignment="1">
      <alignment horizontal="center"/>
    </xf>
    <xf numFmtId="168" fontId="25" fillId="0" borderId="0" xfId="8" applyNumberFormat="1" applyFont="1" applyAlignment="1">
      <alignment horizontal="center"/>
    </xf>
    <xf numFmtId="0" fontId="32" fillId="10" borderId="0" xfId="8" applyFont="1" applyFill="1" applyAlignment="1">
      <alignment horizontal="center" vertical="center"/>
    </xf>
    <xf numFmtId="0" fontId="32" fillId="10" borderId="0" xfId="8" applyFont="1" applyFill="1" applyAlignment="1">
      <alignment horizontal="center" vertical="center" wrapText="1"/>
    </xf>
    <xf numFmtId="166" fontId="32" fillId="10" borderId="0" xfId="8" applyNumberFormat="1" applyFont="1" applyFill="1" applyAlignment="1">
      <alignment horizontal="center"/>
    </xf>
    <xf numFmtId="166" fontId="32" fillId="10" borderId="0" xfId="8" applyNumberFormat="1" applyFont="1" applyFill="1" applyAlignment="1">
      <alignment horizontal="center" vertical="center"/>
    </xf>
    <xf numFmtId="168" fontId="33" fillId="10" borderId="0" xfId="9" applyNumberFormat="1" applyFont="1" applyFill="1" applyBorder="1" applyAlignment="1">
      <alignment horizontal="center" vertical="center"/>
    </xf>
    <xf numFmtId="0" fontId="32" fillId="10" borderId="0" xfId="8" applyFont="1" applyFill="1"/>
    <xf numFmtId="0" fontId="20" fillId="0" borderId="22" xfId="4" applyBorder="1"/>
    <xf numFmtId="0" fontId="19" fillId="2" borderId="1" xfId="3" applyAlignment="1">
      <alignment horizontal="center" vertical="center"/>
    </xf>
    <xf numFmtId="0" fontId="23" fillId="9" borderId="21" xfId="0" applyFont="1" applyFill="1" applyBorder="1" applyAlignment="1">
      <alignment horizontal="center" vertical="center"/>
    </xf>
    <xf numFmtId="17" fontId="20" fillId="0" borderId="19" xfId="0" applyNumberFormat="1" applyFont="1" applyBorder="1" applyAlignment="1">
      <alignment horizontal="center"/>
    </xf>
    <xf numFmtId="0" fontId="23" fillId="5" borderId="10" xfId="0" applyFont="1" applyFill="1" applyBorder="1" applyAlignment="1">
      <alignment horizontal="center" vertical="center"/>
    </xf>
    <xf numFmtId="0" fontId="23" fillId="5" borderId="23" xfId="0" applyFont="1" applyFill="1" applyBorder="1" applyAlignment="1">
      <alignment horizontal="center" vertical="center"/>
    </xf>
    <xf numFmtId="0" fontId="23" fillId="5" borderId="23" xfId="0" applyFont="1" applyFill="1" applyBorder="1" applyAlignment="1">
      <alignment horizontal="center"/>
    </xf>
    <xf numFmtId="0" fontId="23" fillId="5" borderId="24" xfId="0" applyFont="1" applyFill="1" applyBorder="1" applyAlignment="1">
      <alignment horizontal="center"/>
    </xf>
    <xf numFmtId="0" fontId="23" fillId="9" borderId="25" xfId="0" applyFont="1" applyFill="1" applyBorder="1" applyAlignment="1">
      <alignment horizontal="center" vertical="center"/>
    </xf>
    <xf numFmtId="0" fontId="23" fillId="9" borderId="26" xfId="0" applyFont="1" applyFill="1" applyBorder="1" applyAlignment="1">
      <alignment vertical="center"/>
    </xf>
    <xf numFmtId="42" fontId="0" fillId="0" borderId="26" xfId="0" applyNumberFormat="1" applyBorder="1" applyAlignment="1">
      <alignment vertical="center"/>
    </xf>
    <xf numFmtId="0" fontId="0" fillId="0" borderId="26" xfId="0" applyBorder="1" applyAlignment="1">
      <alignment horizontal="center"/>
    </xf>
    <xf numFmtId="17" fontId="20" fillId="0" borderId="27" xfId="0" applyNumberFormat="1" applyFont="1" applyBorder="1" applyAlignment="1">
      <alignment horizontal="center"/>
    </xf>
    <xf numFmtId="0" fontId="23" fillId="9" borderId="21" xfId="0" applyFont="1" applyFill="1" applyBorder="1" applyAlignment="1">
      <alignment horizontal="left"/>
    </xf>
    <xf numFmtId="0" fontId="23" fillId="5" borderId="24" xfId="0" applyFont="1" applyFill="1" applyBorder="1" applyAlignment="1">
      <alignment horizontal="center" vertical="center"/>
    </xf>
    <xf numFmtId="0" fontId="23" fillId="9" borderId="25" xfId="0" applyFont="1" applyFill="1" applyBorder="1" applyAlignment="1">
      <alignment horizontal="left"/>
    </xf>
    <xf numFmtId="174" fontId="20" fillId="0" borderId="16" xfId="4" applyNumberFormat="1" applyBorder="1" applyAlignment="1">
      <alignment horizontal="center" vertical="center"/>
    </xf>
    <xf numFmtId="0" fontId="20" fillId="0" borderId="11" xfId="0" applyFont="1" applyBorder="1" applyAlignment="1">
      <alignment horizontal="justify" vertical="center" wrapText="1"/>
    </xf>
    <xf numFmtId="0" fontId="19" fillId="2" borderId="16" xfId="3" applyBorder="1" applyAlignment="1">
      <alignment horizontal="center" vertical="center"/>
    </xf>
    <xf numFmtId="3" fontId="19" fillId="0" borderId="16" xfId="3" applyNumberFormat="1" applyFill="1" applyBorder="1" applyAlignment="1">
      <alignment horizontal="center" vertical="center"/>
    </xf>
    <xf numFmtId="0" fontId="41" fillId="18" borderId="30" xfId="13" applyBorder="1" applyAlignment="1">
      <alignment horizontal="left"/>
    </xf>
    <xf numFmtId="186" fontId="41" fillId="18" borderId="30" xfId="13" applyNumberFormat="1" applyBorder="1" applyAlignment="1">
      <alignment horizontal="center"/>
    </xf>
    <xf numFmtId="187" fontId="41" fillId="18" borderId="0" xfId="13" applyNumberFormat="1" applyBorder="1" applyAlignment="1">
      <alignment horizontal="center"/>
    </xf>
    <xf numFmtId="0" fontId="41" fillId="18" borderId="0" xfId="13" applyBorder="1" applyAlignment="1">
      <alignment horizontal="center"/>
    </xf>
    <xf numFmtId="186" fontId="41" fillId="18" borderId="0" xfId="13" applyNumberFormat="1" applyBorder="1" applyAlignment="1">
      <alignment horizontal="center"/>
    </xf>
    <xf numFmtId="0" fontId="46" fillId="0" borderId="0" xfId="24" applyFont="1" applyAlignment="1">
      <alignment horizontal="center"/>
    </xf>
    <xf numFmtId="188" fontId="47" fillId="0" borderId="0" xfId="24" applyNumberFormat="1" applyFont="1" applyAlignment="1">
      <alignment horizontal="center"/>
    </xf>
    <xf numFmtId="0" fontId="46" fillId="0" borderId="0" xfId="24" applyFont="1" applyAlignment="1">
      <alignment horizontal="left"/>
    </xf>
    <xf numFmtId="0" fontId="46" fillId="0" borderId="32" xfId="24" applyFont="1" applyBorder="1"/>
    <xf numFmtId="186" fontId="46" fillId="20" borderId="12" xfId="25" applyFont="1" applyFill="1" applyBorder="1" applyAlignment="1">
      <alignment horizontal="right"/>
    </xf>
    <xf numFmtId="0" fontId="46" fillId="20" borderId="30" xfId="24" applyFont="1" applyFill="1" applyBorder="1" applyAlignment="1">
      <alignment horizontal="left"/>
    </xf>
    <xf numFmtId="10" fontId="46" fillId="0" borderId="31" xfId="26" applyNumberFormat="1" applyFont="1" applyBorder="1"/>
    <xf numFmtId="186" fontId="48" fillId="0" borderId="31" xfId="25" applyFont="1" applyBorder="1"/>
    <xf numFmtId="186" fontId="46" fillId="0" borderId="31" xfId="25" applyFont="1" applyBorder="1"/>
    <xf numFmtId="186" fontId="46" fillId="0" borderId="4" xfId="25" applyFont="1" applyBorder="1"/>
    <xf numFmtId="0" fontId="46" fillId="0" borderId="31" xfId="24" applyFont="1" applyBorder="1"/>
    <xf numFmtId="0" fontId="46" fillId="0" borderId="0" xfId="24" applyFont="1"/>
    <xf numFmtId="0" fontId="49" fillId="0" borderId="0" xfId="24" applyFont="1" applyAlignment="1">
      <alignment horizontal="center"/>
    </xf>
    <xf numFmtId="0" fontId="46" fillId="20" borderId="11" xfId="24" applyFont="1" applyFill="1" applyBorder="1" applyAlignment="1">
      <alignment horizontal="left"/>
    </xf>
    <xf numFmtId="10" fontId="46" fillId="0" borderId="12" xfId="26" applyNumberFormat="1" applyFont="1" applyBorder="1"/>
    <xf numFmtId="186" fontId="46" fillId="0" borderId="12" xfId="25" applyFont="1" applyBorder="1"/>
    <xf numFmtId="186" fontId="46" fillId="0" borderId="2" xfId="25" applyFont="1" applyBorder="1"/>
    <xf numFmtId="0" fontId="46" fillId="0" borderId="12" xfId="24" applyFont="1" applyBorder="1"/>
    <xf numFmtId="186" fontId="46" fillId="20" borderId="12" xfId="25" applyFont="1" applyFill="1" applyBorder="1"/>
    <xf numFmtId="186" fontId="49" fillId="0" borderId="0" xfId="24" applyNumberFormat="1" applyFont="1" applyAlignment="1">
      <alignment horizontal="center"/>
    </xf>
    <xf numFmtId="186" fontId="46" fillId="0" borderId="0" xfId="25" applyFont="1" applyBorder="1"/>
    <xf numFmtId="186" fontId="46" fillId="10" borderId="32" xfId="25" applyFont="1" applyFill="1" applyBorder="1"/>
    <xf numFmtId="0" fontId="46" fillId="10" borderId="0" xfId="24" applyFont="1" applyFill="1" applyAlignment="1">
      <alignment horizontal="left"/>
    </xf>
    <xf numFmtId="10" fontId="46" fillId="10" borderId="32" xfId="26" applyNumberFormat="1" applyFont="1" applyFill="1" applyBorder="1"/>
    <xf numFmtId="186" fontId="46" fillId="19" borderId="32" xfId="25" applyFont="1" applyFill="1" applyBorder="1" applyAlignment="1">
      <alignment horizontal="center"/>
    </xf>
    <xf numFmtId="186" fontId="50" fillId="0" borderId="32" xfId="25" applyFont="1" applyBorder="1"/>
    <xf numFmtId="186" fontId="46" fillId="0" borderId="32" xfId="25" applyFont="1" applyBorder="1"/>
    <xf numFmtId="186" fontId="51" fillId="0" borderId="32" xfId="25" applyFont="1" applyBorder="1"/>
    <xf numFmtId="10" fontId="46" fillId="0" borderId="0" xfId="26" applyNumberFormat="1" applyFont="1" applyBorder="1"/>
    <xf numFmtId="4" fontId="52" fillId="19" borderId="0" xfId="25" applyNumberFormat="1" applyFont="1" applyFill="1" applyBorder="1" applyAlignment="1">
      <alignment horizontal="right"/>
    </xf>
    <xf numFmtId="4" fontId="52" fillId="0" borderId="0" xfId="25" applyNumberFormat="1" applyFont="1" applyBorder="1" applyAlignment="1">
      <alignment horizontal="right"/>
    </xf>
    <xf numFmtId="0" fontId="53" fillId="0" borderId="0" xfId="24" applyFont="1"/>
    <xf numFmtId="0" fontId="54" fillId="0" borderId="12" xfId="24" applyFont="1" applyBorder="1"/>
    <xf numFmtId="4" fontId="55" fillId="0" borderId="12" xfId="27" applyNumberFormat="1" applyFont="1" applyFill="1" applyBorder="1" applyAlignment="1">
      <alignment horizontal="right"/>
    </xf>
    <xf numFmtId="186" fontId="56" fillId="0" borderId="0" xfId="25" applyFont="1" applyBorder="1"/>
    <xf numFmtId="186" fontId="46" fillId="0" borderId="0" xfId="25" applyFont="1" applyBorder="1" applyAlignment="1">
      <alignment horizontal="center"/>
    </xf>
    <xf numFmtId="186" fontId="57" fillId="0" borderId="0" xfId="25" applyFont="1" applyBorder="1" applyAlignment="1">
      <alignment horizontal="left"/>
    </xf>
    <xf numFmtId="186" fontId="54" fillId="0" borderId="0" xfId="25" applyFont="1" applyBorder="1" applyAlignment="1">
      <alignment horizontal="center"/>
    </xf>
    <xf numFmtId="186" fontId="58" fillId="0" borderId="0" xfId="25" applyFont="1" applyBorder="1" applyAlignment="1">
      <alignment horizontal="center"/>
    </xf>
    <xf numFmtId="0" fontId="46" fillId="19" borderId="0" xfId="24" applyFont="1" applyFill="1"/>
    <xf numFmtId="175" fontId="52" fillId="19" borderId="0" xfId="25" applyNumberFormat="1" applyFont="1" applyFill="1" applyBorder="1" applyAlignment="1"/>
    <xf numFmtId="186" fontId="53" fillId="0" borderId="0" xfId="25" applyFont="1" applyBorder="1"/>
    <xf numFmtId="186" fontId="46" fillId="0" borderId="0" xfId="25" applyFont="1" applyBorder="1" applyAlignment="1"/>
    <xf numFmtId="186" fontId="46" fillId="19" borderId="0" xfId="25" applyFont="1" applyFill="1" applyBorder="1"/>
    <xf numFmtId="10" fontId="46" fillId="0" borderId="0" xfId="24" applyNumberFormat="1" applyFont="1"/>
    <xf numFmtId="10" fontId="23" fillId="0" borderId="2" xfId="6" applyNumberFormat="1" applyFont="1" applyFill="1" applyBorder="1" applyAlignment="1">
      <alignment horizontal="center" vertical="center" wrapText="1"/>
    </xf>
    <xf numFmtId="0" fontId="42" fillId="0" borderId="0" xfId="38" applyFont="1"/>
    <xf numFmtId="0" fontId="20" fillId="0" borderId="0" xfId="23"/>
    <xf numFmtId="0" fontId="20" fillId="0" borderId="2" xfId="23" applyBorder="1" applyAlignment="1">
      <alignment horizontal="center" vertical="center"/>
    </xf>
    <xf numFmtId="0" fontId="0" fillId="0" borderId="2" xfId="0" applyBorder="1" applyAlignment="1">
      <alignment horizontal="center" vertical="center"/>
    </xf>
    <xf numFmtId="44" fontId="0" fillId="0" borderId="2" xfId="1" applyFont="1" applyBorder="1"/>
    <xf numFmtId="44" fontId="0" fillId="0" borderId="2" xfId="0" applyNumberFormat="1" applyBorder="1"/>
    <xf numFmtId="3" fontId="20" fillId="0" borderId="2" xfId="23" applyNumberFormat="1" applyBorder="1" applyAlignment="1">
      <alignment horizontal="center" vertical="center"/>
    </xf>
    <xf numFmtId="0" fontId="20" fillId="9" borderId="2" xfId="23" applyFill="1" applyBorder="1" applyAlignment="1">
      <alignment horizontal="center" vertical="center"/>
    </xf>
    <xf numFmtId="0" fontId="20" fillId="9" borderId="2" xfId="0" applyFont="1" applyFill="1" applyBorder="1" applyAlignment="1">
      <alignment horizontal="center" vertical="center"/>
    </xf>
    <xf numFmtId="44" fontId="23" fillId="22" borderId="2" xfId="0" applyNumberFormat="1" applyFont="1" applyFill="1" applyBorder="1"/>
    <xf numFmtId="0" fontId="23" fillId="16" borderId="2" xfId="23" applyFont="1" applyFill="1" applyBorder="1"/>
    <xf numFmtId="0" fontId="20" fillId="0" borderId="2" xfId="0" applyFont="1" applyBorder="1" applyAlignment="1">
      <alignment vertical="center"/>
    </xf>
    <xf numFmtId="166" fontId="0" fillId="0" borderId="2" xfId="0" applyNumberFormat="1" applyBorder="1" applyAlignment="1">
      <alignment horizontal="right" vertical="center"/>
    </xf>
    <xf numFmtId="9" fontId="0" fillId="0" borderId="2" xfId="0" applyNumberFormat="1" applyBorder="1" applyAlignment="1">
      <alignment horizontal="right"/>
    </xf>
    <xf numFmtId="0" fontId="23" fillId="14" borderId="2" xfId="0" applyFont="1" applyFill="1" applyBorder="1"/>
    <xf numFmtId="0" fontId="23" fillId="24" borderId="2" xfId="0" applyFont="1" applyFill="1" applyBorder="1" applyAlignment="1">
      <alignment horizontal="center"/>
    </xf>
    <xf numFmtId="0" fontId="45" fillId="0" borderId="0" xfId="0" applyFont="1" applyAlignment="1">
      <alignment horizontal="justify" vertical="center"/>
    </xf>
    <xf numFmtId="0" fontId="23" fillId="0" borderId="0" xfId="0" applyFont="1" applyAlignment="1">
      <alignment vertical="center" wrapText="1"/>
    </xf>
    <xf numFmtId="0" fontId="28" fillId="0" borderId="0" xfId="38" applyFont="1"/>
    <xf numFmtId="0" fontId="37" fillId="0" borderId="0" xfId="0" applyFont="1" applyAlignment="1">
      <alignment vertical="center" wrapText="1"/>
    </xf>
    <xf numFmtId="0" fontId="63" fillId="0" borderId="0" xfId="38" applyFont="1"/>
    <xf numFmtId="0" fontId="23" fillId="9" borderId="5" xfId="0" applyFont="1" applyFill="1" applyBorder="1" applyAlignment="1">
      <alignment horizontal="left"/>
    </xf>
    <xf numFmtId="0" fontId="20" fillId="0" borderId="5" xfId="0" applyFont="1" applyBorder="1" applyAlignment="1">
      <alignment horizontal="center" vertical="center"/>
    </xf>
    <xf numFmtId="0" fontId="0" fillId="0" borderId="19" xfId="0" applyBorder="1" applyAlignment="1">
      <alignment horizontal="center" vertical="center"/>
    </xf>
    <xf numFmtId="42" fontId="0" fillId="0" borderId="19" xfId="0" applyNumberFormat="1" applyBorder="1" applyAlignment="1">
      <alignment horizontal="center" vertical="center"/>
    </xf>
    <xf numFmtId="0" fontId="20" fillId="0" borderId="26" xfId="0" applyFont="1" applyBorder="1" applyAlignment="1">
      <alignment horizontal="center" vertical="center" wrapText="1"/>
    </xf>
    <xf numFmtId="0" fontId="20" fillId="0" borderId="26" xfId="0" applyFont="1" applyBorder="1" applyAlignment="1">
      <alignment horizontal="center" vertical="center"/>
    </xf>
    <xf numFmtId="42" fontId="0" fillId="0" borderId="26" xfId="0" applyNumberFormat="1" applyBorder="1" applyAlignment="1">
      <alignment horizontal="center" vertical="center"/>
    </xf>
    <xf numFmtId="42" fontId="0" fillId="0" borderId="27" xfId="0" applyNumberFormat="1" applyBorder="1" applyAlignment="1">
      <alignment horizontal="center" vertical="center"/>
    </xf>
    <xf numFmtId="0" fontId="40" fillId="25" borderId="52" xfId="50" applyFill="1" applyBorder="1" applyAlignment="1" applyProtection="1">
      <alignment horizontal="center" vertical="center"/>
    </xf>
    <xf numFmtId="0" fontId="65" fillId="25" borderId="53" xfId="50" applyFont="1" applyFill="1" applyBorder="1" applyAlignment="1" applyProtection="1">
      <alignment horizontal="center" vertical="center"/>
    </xf>
    <xf numFmtId="3" fontId="65" fillId="25" borderId="53" xfId="49" applyNumberFormat="1" applyFont="1" applyFill="1" applyBorder="1" applyAlignment="1" applyProtection="1">
      <alignment horizontal="center" vertical="center"/>
    </xf>
    <xf numFmtId="0" fontId="66" fillId="10" borderId="53" xfId="51" applyFont="1" applyFill="1" applyBorder="1" applyAlignment="1">
      <alignment horizontal="center" vertical="center" wrapText="1"/>
    </xf>
    <xf numFmtId="0" fontId="66" fillId="10" borderId="53" xfId="50" applyFont="1" applyFill="1" applyBorder="1" applyAlignment="1" applyProtection="1">
      <alignment horizontal="center" vertical="center" wrapText="1"/>
    </xf>
    <xf numFmtId="194" fontId="65" fillId="9" borderId="53" xfId="50" applyNumberFormat="1" applyFont="1" applyFill="1" applyBorder="1" applyAlignment="1" applyProtection="1">
      <alignment horizontal="right" vertical="center" wrapText="1"/>
    </xf>
    <xf numFmtId="0" fontId="14" fillId="10" borderId="53" xfId="51" applyFill="1" applyBorder="1" applyAlignment="1">
      <alignment horizontal="center" vertical="center" wrapText="1"/>
    </xf>
    <xf numFmtId="0" fontId="67" fillId="10" borderId="53" xfId="50" applyFont="1" applyFill="1" applyBorder="1" applyAlignment="1" applyProtection="1">
      <alignment horizontal="left" vertical="center" wrapText="1"/>
    </xf>
    <xf numFmtId="0" fontId="65" fillId="9" borderId="53" xfId="50" applyNumberFormat="1" applyFont="1" applyFill="1" applyBorder="1" applyAlignment="1" applyProtection="1">
      <alignment horizontal="right" vertical="center" wrapText="1"/>
    </xf>
    <xf numFmtId="0" fontId="37" fillId="0" borderId="0" xfId="0" applyFont="1" applyAlignment="1">
      <alignment vertical="center"/>
    </xf>
    <xf numFmtId="0" fontId="23" fillId="16" borderId="2" xfId="0" applyFont="1" applyFill="1" applyBorder="1" applyAlignment="1">
      <alignment horizontal="center" vertical="center" wrapText="1"/>
    </xf>
    <xf numFmtId="0" fontId="23" fillId="16" borderId="2" xfId="0" applyFont="1" applyFill="1" applyBorder="1" applyAlignment="1">
      <alignment horizontal="center" vertical="center"/>
    </xf>
    <xf numFmtId="0" fontId="0" fillId="0" borderId="0" xfId="0" applyAlignment="1">
      <alignment horizontal="left"/>
    </xf>
    <xf numFmtId="0" fontId="26" fillId="0" borderId="0" xfId="0" applyFont="1"/>
    <xf numFmtId="0" fontId="69" fillId="0" borderId="0" xfId="0" applyFont="1"/>
    <xf numFmtId="0" fontId="70" fillId="0" borderId="0" xfId="0" applyFont="1" applyAlignment="1">
      <alignment horizontal="left"/>
    </xf>
    <xf numFmtId="0" fontId="70" fillId="0" borderId="0" xfId="0" applyFont="1"/>
    <xf numFmtId="0" fontId="38" fillId="0" borderId="28" xfId="0" applyFont="1" applyBorder="1" applyAlignment="1">
      <alignment horizontal="right"/>
    </xf>
    <xf numFmtId="0" fontId="38" fillId="0" borderId="29" xfId="0" applyFont="1" applyBorder="1" applyAlignment="1">
      <alignment horizontal="left"/>
    </xf>
    <xf numFmtId="0" fontId="38" fillId="0" borderId="30" xfId="0" applyFont="1" applyBorder="1" applyAlignment="1">
      <alignment horizontal="right"/>
    </xf>
    <xf numFmtId="0" fontId="38" fillId="0" borderId="54" xfId="0" applyFont="1" applyBorder="1" applyAlignment="1">
      <alignment horizontal="left"/>
    </xf>
    <xf numFmtId="2" fontId="38" fillId="0" borderId="0" xfId="0" applyNumberFormat="1" applyFont="1" applyAlignment="1">
      <alignment horizontal="right"/>
    </xf>
    <xf numFmtId="0" fontId="70" fillId="0" borderId="0" xfId="0" applyFont="1" applyAlignment="1">
      <alignment horizontal="center" vertical="center"/>
    </xf>
    <xf numFmtId="0" fontId="70" fillId="0" borderId="0" xfId="0" applyFont="1" applyAlignment="1">
      <alignment horizontal="right" vertical="center"/>
    </xf>
    <xf numFmtId="0" fontId="0" fillId="0" borderId="0" xfId="0" applyAlignment="1">
      <alignment horizontal="center" vertical="center"/>
    </xf>
    <xf numFmtId="2" fontId="0" fillId="0" borderId="0" xfId="0" applyNumberFormat="1" applyAlignment="1">
      <alignment horizontal="center" vertical="center"/>
    </xf>
    <xf numFmtId="0" fontId="23" fillId="0" borderId="0" xfId="0" applyFont="1" applyAlignment="1">
      <alignment horizontal="right"/>
    </xf>
    <xf numFmtId="0" fontId="19" fillId="0" borderId="1" xfId="3" applyFill="1" applyAlignment="1">
      <alignment horizontal="center" vertical="center"/>
    </xf>
    <xf numFmtId="0" fontId="23" fillId="0" borderId="13" xfId="4" quotePrefix="1" applyFont="1" applyBorder="1" applyAlignment="1">
      <alignment horizontal="lef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8" xfId="0" applyFont="1" applyBorder="1" applyAlignment="1">
      <alignment vertical="center" wrapText="1"/>
    </xf>
    <xf numFmtId="0" fontId="20" fillId="0" borderId="0" xfId="23" applyAlignment="1">
      <alignment horizontal="center" vertical="center"/>
    </xf>
    <xf numFmtId="0" fontId="23" fillId="16" borderId="2" xfId="23" applyFont="1" applyFill="1" applyBorder="1" applyAlignment="1">
      <alignment horizontal="center" vertical="center"/>
    </xf>
    <xf numFmtId="0" fontId="73" fillId="0" borderId="2" xfId="0" applyFont="1" applyBorder="1" applyAlignment="1">
      <alignment horizontal="left" vertical="center" wrapText="1" indent="1"/>
    </xf>
    <xf numFmtId="194" fontId="0" fillId="0" borderId="2" xfId="1" applyNumberFormat="1" applyFont="1" applyBorder="1"/>
    <xf numFmtId="194" fontId="0" fillId="0" borderId="2" xfId="0" applyNumberFormat="1" applyBorder="1"/>
    <xf numFmtId="168" fontId="33" fillId="0" borderId="0" xfId="9" applyNumberFormat="1" applyFont="1" applyFill="1" applyBorder="1" applyAlignment="1">
      <alignment horizontal="center" vertical="center"/>
    </xf>
    <xf numFmtId="168" fontId="36" fillId="0" borderId="0" xfId="9" applyNumberFormat="1" applyFont="1" applyFill="1" applyBorder="1" applyAlignment="1">
      <alignment horizontal="center" vertical="center"/>
    </xf>
    <xf numFmtId="44" fontId="20" fillId="0" borderId="0" xfId="0" applyNumberFormat="1" applyFont="1"/>
    <xf numFmtId="0" fontId="66" fillId="10" borderId="53" xfId="50" applyFont="1" applyFill="1" applyBorder="1" applyAlignment="1" applyProtection="1">
      <alignment horizontal="left" vertical="center" wrapText="1"/>
    </xf>
    <xf numFmtId="0" fontId="23" fillId="0" borderId="0" xfId="0" applyFont="1" applyAlignment="1">
      <alignment horizontal="left" vertical="center"/>
    </xf>
    <xf numFmtId="0" fontId="23" fillId="14" borderId="2" xfId="0" applyFont="1" applyFill="1" applyBorder="1" applyAlignment="1">
      <alignment horizontal="center" vertical="center"/>
    </xf>
    <xf numFmtId="0" fontId="23" fillId="17" borderId="2" xfId="0" applyFont="1" applyFill="1" applyBorder="1" applyAlignment="1">
      <alignment horizontal="center" vertical="center"/>
    </xf>
    <xf numFmtId="0" fontId="0" fillId="0" borderId="0" xfId="0" applyAlignment="1">
      <alignment horizontal="right"/>
    </xf>
    <xf numFmtId="194" fontId="0" fillId="0" borderId="2" xfId="0" applyNumberFormat="1" applyBorder="1" applyAlignment="1">
      <alignment horizontal="center" vertical="center"/>
    </xf>
    <xf numFmtId="194" fontId="0" fillId="0" borderId="4" xfId="1" applyNumberFormat="1" applyFont="1" applyBorder="1"/>
    <xf numFmtId="0" fontId="0" fillId="0" borderId="2" xfId="1" applyNumberFormat="1" applyFont="1" applyBorder="1" applyAlignment="1">
      <alignment horizontal="center" vertical="center"/>
    </xf>
    <xf numFmtId="2" fontId="0" fillId="4" borderId="11" xfId="0" applyNumberFormat="1" applyFill="1" applyBorder="1" applyAlignment="1">
      <alignment horizontal="center" vertical="center"/>
    </xf>
    <xf numFmtId="0" fontId="0" fillId="0" borderId="2" xfId="0" applyBorder="1" applyAlignment="1">
      <alignment horizontal="right"/>
    </xf>
    <xf numFmtId="0" fontId="23" fillId="16" borderId="2" xfId="0" applyFont="1" applyFill="1" applyBorder="1" applyAlignment="1">
      <alignment horizontal="center"/>
    </xf>
    <xf numFmtId="0" fontId="0" fillId="0" borderId="4" xfId="1" applyNumberFormat="1" applyFont="1" applyBorder="1" applyAlignment="1">
      <alignment horizontal="center" vertical="center"/>
    </xf>
    <xf numFmtId="0" fontId="23" fillId="0" borderId="2" xfId="0" applyFont="1" applyBorder="1" applyAlignment="1">
      <alignment horizontal="center" vertical="center"/>
    </xf>
    <xf numFmtId="44" fontId="23" fillId="4" borderId="2" xfId="1" applyFont="1" applyFill="1" applyBorder="1" applyAlignment="1">
      <alignment horizontal="center" vertical="center"/>
    </xf>
    <xf numFmtId="0" fontId="73" fillId="0" borderId="2" xfId="0" applyFont="1" applyBorder="1" applyAlignment="1">
      <alignment horizontal="center" vertical="center" wrapText="1"/>
    </xf>
    <xf numFmtId="0" fontId="23" fillId="9" borderId="25" xfId="0" applyFont="1" applyFill="1" applyBorder="1" applyAlignment="1">
      <alignment horizontal="left" vertical="center" wrapText="1"/>
    </xf>
    <xf numFmtId="0" fontId="23" fillId="9" borderId="21" xfId="0" applyFont="1" applyFill="1" applyBorder="1" applyAlignment="1">
      <alignment horizontal="left" wrapText="1"/>
    </xf>
    <xf numFmtId="194" fontId="65" fillId="0" borderId="53" xfId="50" applyNumberFormat="1" applyFont="1" applyFill="1" applyBorder="1" applyAlignment="1" applyProtection="1">
      <alignment horizontal="center" vertical="center" wrapText="1"/>
    </xf>
    <xf numFmtId="166" fontId="19" fillId="2" borderId="4" xfId="3" applyNumberFormat="1" applyBorder="1"/>
    <xf numFmtId="166" fontId="19" fillId="2" borderId="7" xfId="3" applyNumberFormat="1" applyBorder="1"/>
    <xf numFmtId="0" fontId="20" fillId="6" borderId="2" xfId="0" applyFont="1" applyFill="1" applyBorder="1" applyAlignment="1">
      <alignment horizontal="center" vertical="center"/>
    </xf>
    <xf numFmtId="0" fontId="20" fillId="6" borderId="4" xfId="0" applyFont="1" applyFill="1" applyBorder="1" applyAlignment="1">
      <alignment horizontal="center" vertical="center"/>
    </xf>
    <xf numFmtId="0" fontId="20" fillId="6" borderId="2" xfId="0" applyFont="1" applyFill="1" applyBorder="1" applyAlignment="1">
      <alignment horizontal="center" vertical="center" wrapText="1"/>
    </xf>
    <xf numFmtId="171" fontId="20" fillId="4" borderId="16" xfId="4" applyNumberFormat="1" applyFill="1" applyBorder="1" applyAlignment="1">
      <alignment horizontal="justify" vertical="center"/>
    </xf>
    <xf numFmtId="196" fontId="38" fillId="0" borderId="0" xfId="0" applyNumberFormat="1" applyFont="1" applyAlignment="1">
      <alignment horizontal="right"/>
    </xf>
    <xf numFmtId="0" fontId="23" fillId="16" borderId="8" xfId="0" applyFont="1" applyFill="1" applyBorder="1" applyAlignment="1">
      <alignment horizontal="center" vertical="center"/>
    </xf>
    <xf numFmtId="0" fontId="23" fillId="16" borderId="8" xfId="0" applyFont="1" applyFill="1" applyBorder="1" applyAlignment="1">
      <alignment horizontal="center"/>
    </xf>
    <xf numFmtId="0" fontId="23" fillId="16" borderId="11" xfId="0" applyFont="1" applyFill="1" applyBorder="1" applyAlignment="1">
      <alignment vertical="center"/>
    </xf>
    <xf numFmtId="0" fontId="23" fillId="16" borderId="8" xfId="0" applyFont="1" applyFill="1" applyBorder="1" applyAlignment="1">
      <alignment vertical="center"/>
    </xf>
    <xf numFmtId="0" fontId="23" fillId="16" borderId="2" xfId="0" applyFont="1" applyFill="1" applyBorder="1" applyAlignment="1">
      <alignment vertical="center"/>
    </xf>
    <xf numFmtId="0" fontId="42" fillId="0" borderId="2" xfId="38" applyFont="1" applyBorder="1"/>
    <xf numFmtId="0" fontId="42" fillId="0" borderId="2" xfId="38" applyFont="1" applyBorder="1" applyAlignment="1">
      <alignment horizontal="center"/>
    </xf>
    <xf numFmtId="0" fontId="42" fillId="0" borderId="2" xfId="38" applyFont="1" applyBorder="1" applyAlignment="1">
      <alignment horizontal="center" vertical="center"/>
    </xf>
    <xf numFmtId="0" fontId="28" fillId="4" borderId="2" xfId="38" applyFont="1" applyFill="1" applyBorder="1" applyAlignment="1">
      <alignment horizontal="center" vertical="center"/>
    </xf>
    <xf numFmtId="0" fontId="0" fillId="0" borderId="8" xfId="0" applyBorder="1" applyAlignment="1">
      <alignment horizontal="center" vertical="center"/>
    </xf>
    <xf numFmtId="0" fontId="73" fillId="0" borderId="0" xfId="0" applyFont="1" applyAlignment="1">
      <alignment horizontal="center" vertical="center" wrapText="1"/>
    </xf>
    <xf numFmtId="194" fontId="0" fillId="0" borderId="4" xfId="1" applyNumberFormat="1" applyFont="1" applyBorder="1" applyAlignment="1">
      <alignment horizontal="center" vertical="center"/>
    </xf>
    <xf numFmtId="0" fontId="79" fillId="10" borderId="53" xfId="50" applyFont="1" applyFill="1" applyBorder="1" applyAlignment="1" applyProtection="1">
      <alignment horizontal="left" vertical="center" wrapText="1"/>
    </xf>
    <xf numFmtId="0" fontId="0" fillId="0" borderId="2" xfId="0" applyBorder="1" applyAlignment="1">
      <alignment wrapText="1"/>
    </xf>
    <xf numFmtId="0" fontId="74" fillId="0" borderId="0" xfId="76" applyFont="1"/>
    <xf numFmtId="0" fontId="76" fillId="26" borderId="2" xfId="76" applyFont="1" applyFill="1" applyBorder="1" applyAlignment="1">
      <alignment horizontal="center" vertical="center"/>
    </xf>
    <xf numFmtId="0" fontId="76" fillId="26" borderId="39" xfId="76" applyFont="1" applyFill="1" applyBorder="1" applyAlignment="1">
      <alignment horizontal="center" vertical="center"/>
    </xf>
    <xf numFmtId="0" fontId="3" fillId="0" borderId="0" xfId="76"/>
    <xf numFmtId="0" fontId="68" fillId="26" borderId="2" xfId="76" applyFont="1" applyFill="1" applyBorder="1" applyAlignment="1">
      <alignment horizontal="center" vertical="center"/>
    </xf>
    <xf numFmtId="0" fontId="40" fillId="26" borderId="2" xfId="76" applyFont="1" applyFill="1" applyBorder="1" applyAlignment="1">
      <alignment horizontal="center" vertical="center"/>
    </xf>
    <xf numFmtId="0" fontId="81" fillId="0" borderId="2" xfId="76" applyFont="1" applyBorder="1" applyAlignment="1">
      <alignment wrapText="1"/>
    </xf>
    <xf numFmtId="0" fontId="81" fillId="0" borderId="2" xfId="76" applyFont="1" applyBorder="1" applyAlignment="1">
      <alignment horizontal="center" vertical="center" wrapText="1"/>
    </xf>
    <xf numFmtId="8" fontId="81" fillId="0" borderId="2" xfId="76" applyNumberFormat="1" applyFont="1" applyBorder="1" applyAlignment="1">
      <alignment horizontal="center" vertical="center" wrapText="1"/>
    </xf>
    <xf numFmtId="0" fontId="82" fillId="0" borderId="2" xfId="76" applyFont="1" applyBorder="1" applyAlignment="1">
      <alignment wrapText="1"/>
    </xf>
    <xf numFmtId="0" fontId="20" fillId="0" borderId="2" xfId="76" applyFont="1" applyBorder="1" applyAlignment="1">
      <alignment wrapText="1"/>
    </xf>
    <xf numFmtId="0" fontId="66" fillId="0" borderId="2" xfId="76" applyFont="1" applyBorder="1" applyAlignment="1">
      <alignment horizontal="center" vertical="center" wrapText="1"/>
    </xf>
    <xf numFmtId="8" fontId="66" fillId="0" borderId="2" xfId="76" applyNumberFormat="1" applyFont="1" applyBorder="1" applyAlignment="1">
      <alignment horizontal="right" vertical="center" wrapText="1"/>
    </xf>
    <xf numFmtId="6" fontId="66" fillId="0" borderId="2" xfId="76" applyNumberFormat="1" applyFont="1" applyBorder="1" applyAlignment="1">
      <alignment horizontal="right" vertical="center" wrapText="1"/>
    </xf>
    <xf numFmtId="0" fontId="66" fillId="0" borderId="2" xfId="76" applyFont="1" applyBorder="1" applyAlignment="1">
      <alignment vertical="center" wrapText="1"/>
    </xf>
    <xf numFmtId="0" fontId="40" fillId="10" borderId="2" xfId="76" applyFont="1" applyFill="1" applyBorder="1" applyAlignment="1">
      <alignment vertical="center"/>
    </xf>
    <xf numFmtId="8" fontId="40" fillId="26" borderId="2" xfId="76" applyNumberFormat="1" applyFont="1" applyFill="1" applyBorder="1" applyAlignment="1">
      <alignment horizontal="center" vertical="center"/>
    </xf>
    <xf numFmtId="0" fontId="3" fillId="0" borderId="2" xfId="76" applyBorder="1"/>
    <xf numFmtId="42" fontId="40" fillId="27" borderId="2" xfId="76" applyNumberFormat="1" applyFont="1" applyFill="1" applyBorder="1" applyAlignment="1">
      <alignment vertical="center" wrapText="1"/>
    </xf>
    <xf numFmtId="166" fontId="23" fillId="14" borderId="2" xfId="0" applyNumberFormat="1" applyFont="1" applyFill="1" applyBorder="1" applyAlignment="1">
      <alignment horizontal="right" vertical="center"/>
    </xf>
    <xf numFmtId="180" fontId="23" fillId="5" borderId="2" xfId="0" applyNumberFormat="1" applyFont="1" applyFill="1" applyBorder="1" applyAlignment="1">
      <alignment horizontal="right" vertical="center"/>
    </xf>
    <xf numFmtId="180" fontId="23" fillId="15" borderId="2" xfId="0" applyNumberFormat="1" applyFont="1" applyFill="1" applyBorder="1" applyAlignment="1">
      <alignment horizontal="right" vertical="center"/>
    </xf>
    <xf numFmtId="0" fontId="2" fillId="10" borderId="53" xfId="50" applyFont="1" applyFill="1" applyBorder="1" applyAlignment="1" applyProtection="1">
      <alignment horizontal="center" vertical="center" wrapText="1"/>
    </xf>
    <xf numFmtId="0" fontId="2" fillId="10" borderId="53" xfId="50" applyFont="1" applyFill="1" applyBorder="1" applyAlignment="1" applyProtection="1">
      <alignment horizontal="left" vertical="center" wrapText="1"/>
    </xf>
    <xf numFmtId="0" fontId="68" fillId="26" borderId="39" xfId="76" applyFont="1" applyFill="1" applyBorder="1" applyAlignment="1">
      <alignment horizontal="center" vertical="center"/>
    </xf>
    <xf numFmtId="0" fontId="40" fillId="26" borderId="39" xfId="76" applyFont="1" applyFill="1" applyBorder="1" applyAlignment="1">
      <alignment horizontal="center" vertical="center"/>
    </xf>
    <xf numFmtId="0" fontId="2" fillId="0" borderId="2" xfId="76" applyFont="1" applyBorder="1" applyAlignment="1">
      <alignment horizontal="left" vertical="center" wrapText="1"/>
    </xf>
    <xf numFmtId="0" fontId="2" fillId="0" borderId="2" xfId="76" applyFont="1" applyBorder="1" applyAlignment="1">
      <alignment horizontal="center" vertical="center" wrapText="1"/>
    </xf>
    <xf numFmtId="42" fontId="2" fillId="0" borderId="2" xfId="77" applyFont="1" applyFill="1" applyBorder="1" applyAlignment="1">
      <alignment horizontal="center" vertical="center"/>
    </xf>
    <xf numFmtId="42" fontId="2" fillId="0" borderId="2" xfId="76" applyNumberFormat="1" applyFont="1" applyBorder="1" applyAlignment="1">
      <alignment horizontal="center" vertical="center" wrapText="1"/>
    </xf>
    <xf numFmtId="0" fontId="66" fillId="0" borderId="2" xfId="76" applyFont="1" applyBorder="1" applyAlignment="1">
      <alignment horizontal="left" vertical="center" wrapText="1"/>
    </xf>
    <xf numFmtId="1" fontId="66" fillId="0" borderId="2" xfId="76" applyNumberFormat="1" applyFont="1" applyBorder="1" applyAlignment="1">
      <alignment horizontal="center" vertical="center" wrapText="1"/>
    </xf>
    <xf numFmtId="42" fontId="66" fillId="0" borderId="2" xfId="77" applyFont="1" applyFill="1" applyBorder="1" applyAlignment="1">
      <alignment horizontal="center" vertical="center"/>
    </xf>
    <xf numFmtId="0" fontId="2" fillId="0" borderId="37" xfId="76" applyFont="1" applyBorder="1" applyAlignment="1">
      <alignment horizontal="left" vertical="center" wrapText="1"/>
    </xf>
    <xf numFmtId="0" fontId="66" fillId="0" borderId="37" xfId="76" applyFont="1" applyBorder="1" applyAlignment="1">
      <alignment horizontal="center" vertical="center" wrapText="1"/>
    </xf>
    <xf numFmtId="1" fontId="66" fillId="0" borderId="37" xfId="76" applyNumberFormat="1" applyFont="1" applyBorder="1" applyAlignment="1">
      <alignment horizontal="center" vertical="center" wrapText="1"/>
    </xf>
    <xf numFmtId="42" fontId="66" fillId="0" borderId="37" xfId="77" applyFont="1" applyFill="1" applyBorder="1" applyAlignment="1">
      <alignment horizontal="center" vertical="center"/>
    </xf>
    <xf numFmtId="42" fontId="66" fillId="0" borderId="37" xfId="76" applyNumberFormat="1" applyFont="1" applyBorder="1" applyAlignment="1">
      <alignment horizontal="center" vertical="center" wrapText="1"/>
    </xf>
    <xf numFmtId="0" fontId="2" fillId="0" borderId="38" xfId="76" applyFont="1" applyBorder="1" applyAlignment="1">
      <alignment horizontal="left" vertical="center" wrapText="1"/>
    </xf>
    <xf numFmtId="1" fontId="66" fillId="0" borderId="38" xfId="76" applyNumberFormat="1" applyFont="1" applyBorder="1" applyAlignment="1">
      <alignment horizontal="center" vertical="center" wrapText="1"/>
    </xf>
    <xf numFmtId="42" fontId="66" fillId="0" borderId="38" xfId="77" applyFont="1" applyFill="1" applyBorder="1" applyAlignment="1">
      <alignment horizontal="center" vertical="center"/>
    </xf>
    <xf numFmtId="0" fontId="66" fillId="0" borderId="37" xfId="76" applyFont="1" applyBorder="1" applyAlignment="1">
      <alignment horizontal="left" vertical="center" wrapText="1"/>
    </xf>
    <xf numFmtId="42" fontId="2" fillId="0" borderId="2" xfId="77" applyFont="1" applyBorder="1" applyAlignment="1">
      <alignment horizontal="center" vertical="center" wrapText="1"/>
    </xf>
    <xf numFmtId="0" fontId="66" fillId="0" borderId="7" xfId="76" applyFont="1" applyBorder="1" applyAlignment="1">
      <alignment horizontal="left" vertical="center" wrapText="1"/>
    </xf>
    <xf numFmtId="0" fontId="66" fillId="0" borderId="38" xfId="76" applyFont="1" applyBorder="1" applyAlignment="1">
      <alignment horizontal="center" vertical="center" wrapText="1"/>
    </xf>
    <xf numFmtId="42" fontId="66" fillId="0" borderId="2" xfId="76" applyNumberFormat="1" applyFont="1" applyBorder="1" applyAlignment="1">
      <alignment horizontal="center" vertical="center" wrapText="1"/>
    </xf>
    <xf numFmtId="42" fontId="66" fillId="0" borderId="2" xfId="77" applyFont="1" applyBorder="1" applyAlignment="1">
      <alignment horizontal="center" vertical="center" wrapText="1"/>
    </xf>
    <xf numFmtId="42" fontId="2" fillId="0" borderId="11" xfId="76" applyNumberFormat="1" applyFont="1" applyBorder="1" applyAlignment="1">
      <alignment horizontal="center" vertical="center" wrapText="1"/>
    </xf>
    <xf numFmtId="0" fontId="66" fillId="0" borderId="39" xfId="76" applyFont="1" applyBorder="1" applyAlignment="1">
      <alignment horizontal="center" vertical="center" wrapText="1"/>
    </xf>
    <xf numFmtId="0" fontId="2" fillId="0" borderId="4" xfId="76" applyFont="1" applyBorder="1" applyAlignment="1">
      <alignment horizontal="center" vertical="center" wrapText="1"/>
    </xf>
    <xf numFmtId="42" fontId="66" fillId="0" borderId="11" xfId="77" applyFont="1" applyFill="1" applyBorder="1" applyAlignment="1">
      <alignment horizontal="center" vertical="center"/>
    </xf>
    <xf numFmtId="0" fontId="2" fillId="0" borderId="7" xfId="76" applyFont="1" applyBorder="1" applyAlignment="1">
      <alignment horizontal="left" vertical="center" wrapText="1"/>
    </xf>
    <xf numFmtId="0" fontId="2" fillId="0" borderId="4" xfId="76" applyFont="1" applyBorder="1" applyAlignment="1">
      <alignment horizontal="left" vertical="center" wrapText="1"/>
    </xf>
    <xf numFmtId="0" fontId="2" fillId="0" borderId="2" xfId="76" applyFont="1" applyBorder="1" applyAlignment="1">
      <alignment horizontal="left" vertical="center"/>
    </xf>
    <xf numFmtId="0" fontId="2" fillId="0" borderId="37" xfId="76" applyFont="1" applyBorder="1" applyAlignment="1">
      <alignment horizontal="center" vertical="center" wrapText="1"/>
    </xf>
    <xf numFmtId="1" fontId="2" fillId="0" borderId="38" xfId="76" applyNumberFormat="1" applyFont="1" applyBorder="1" applyAlignment="1">
      <alignment horizontal="center" vertical="center" wrapText="1"/>
    </xf>
    <xf numFmtId="42" fontId="2" fillId="0" borderId="38" xfId="77" applyFont="1" applyFill="1" applyBorder="1" applyAlignment="1">
      <alignment horizontal="center" vertical="center"/>
    </xf>
    <xf numFmtId="42" fontId="66" fillId="0" borderId="11" xfId="77" applyFont="1" applyBorder="1" applyAlignment="1">
      <alignment horizontal="center" vertical="center"/>
    </xf>
    <xf numFmtId="0" fontId="66" fillId="0" borderId="2" xfId="76" applyFont="1" applyBorder="1" applyAlignment="1">
      <alignment horizontal="center" vertical="center"/>
    </xf>
    <xf numFmtId="0" fontId="2" fillId="0" borderId="11" xfId="76" applyFont="1" applyBorder="1" applyAlignment="1">
      <alignment horizontal="left" vertical="center" wrapText="1"/>
    </xf>
    <xf numFmtId="42" fontId="66" fillId="0" borderId="2" xfId="77" applyFont="1" applyBorder="1" applyAlignment="1">
      <alignment horizontal="center" vertical="center"/>
    </xf>
    <xf numFmtId="42" fontId="66" fillId="0" borderId="35" xfId="77" applyFont="1" applyBorder="1" applyAlignment="1">
      <alignment horizontal="center" vertical="center"/>
    </xf>
    <xf numFmtId="42" fontId="66" fillId="0" borderId="7" xfId="77" applyFont="1" applyFill="1" applyBorder="1" applyAlignment="1">
      <alignment horizontal="center" vertical="center"/>
    </xf>
    <xf numFmtId="0" fontId="40" fillId="10" borderId="33" xfId="76" applyFont="1" applyFill="1" applyBorder="1" applyAlignment="1">
      <alignment vertical="center"/>
    </xf>
    <xf numFmtId="0" fontId="40" fillId="10" borderId="32" xfId="76" applyFont="1" applyFill="1" applyBorder="1" applyAlignment="1">
      <alignment vertical="center"/>
    </xf>
    <xf numFmtId="42" fontId="40" fillId="26" borderId="45" xfId="76" applyNumberFormat="1" applyFont="1" applyFill="1" applyBorder="1" applyAlignment="1">
      <alignment horizontal="center" vertical="center"/>
    </xf>
    <xf numFmtId="42" fontId="40" fillId="27" borderId="36" xfId="76" applyNumberFormat="1" applyFont="1" applyFill="1" applyBorder="1" applyAlignment="1">
      <alignment vertical="center" wrapText="1"/>
    </xf>
    <xf numFmtId="0" fontId="0" fillId="0" borderId="7" xfId="0" applyBorder="1" applyAlignment="1">
      <alignment horizontal="center" vertical="center"/>
    </xf>
    <xf numFmtId="0" fontId="0" fillId="0" borderId="47" xfId="0" applyBorder="1" applyAlignment="1">
      <alignment horizontal="center" vertical="center"/>
    </xf>
    <xf numFmtId="0" fontId="28" fillId="0" borderId="0" xfId="38" applyFont="1" applyAlignment="1">
      <alignment horizontal="center" vertical="center" wrapText="1"/>
    </xf>
    <xf numFmtId="0" fontId="23" fillId="16" borderId="11" xfId="0" applyFont="1" applyFill="1" applyBorder="1" applyAlignment="1">
      <alignment horizontal="center" vertical="center"/>
    </xf>
    <xf numFmtId="0" fontId="23" fillId="16" borderId="8" xfId="0" applyFont="1" applyFill="1" applyBorder="1" applyAlignment="1">
      <alignment horizontal="center" vertical="center"/>
    </xf>
    <xf numFmtId="0" fontId="28" fillId="29" borderId="11" xfId="38" applyFont="1" applyFill="1" applyBorder="1" applyAlignment="1">
      <alignment horizontal="center" vertical="center"/>
    </xf>
    <xf numFmtId="0" fontId="28" fillId="29" borderId="8" xfId="38" applyFont="1" applyFill="1" applyBorder="1" applyAlignment="1">
      <alignment horizontal="center" vertical="center"/>
    </xf>
    <xf numFmtId="0" fontId="20" fillId="6" borderId="2" xfId="0" applyFont="1" applyFill="1" applyBorder="1" applyAlignment="1">
      <alignment horizontal="center"/>
    </xf>
    <xf numFmtId="0" fontId="20" fillId="3" borderId="2" xfId="0" applyFont="1" applyFill="1" applyBorder="1" applyAlignment="1">
      <alignment horizontal="center" wrapText="1"/>
    </xf>
    <xf numFmtId="0" fontId="20" fillId="4" borderId="2" xfId="0" applyFont="1" applyFill="1" applyBorder="1" applyAlignment="1">
      <alignment horizontal="center"/>
    </xf>
    <xf numFmtId="0" fontId="20" fillId="5" borderId="2" xfId="0" applyFont="1" applyFill="1" applyBorder="1" applyAlignment="1">
      <alignment horizontal="center"/>
    </xf>
    <xf numFmtId="0" fontId="20" fillId="4" borderId="3" xfId="0" applyFont="1" applyFill="1" applyBorder="1" applyAlignment="1">
      <alignment horizontal="center"/>
    </xf>
    <xf numFmtId="0" fontId="20" fillId="4" borderId="0" xfId="0" applyFont="1" applyFill="1" applyAlignment="1">
      <alignment horizontal="center"/>
    </xf>
    <xf numFmtId="0" fontId="23" fillId="8" borderId="9" xfId="0" applyFont="1" applyFill="1" applyBorder="1" applyAlignment="1">
      <alignment horizontal="center"/>
    </xf>
    <xf numFmtId="0" fontId="23" fillId="8" borderId="10" xfId="0" applyFont="1" applyFill="1" applyBorder="1" applyAlignment="1">
      <alignment horizontal="center"/>
    </xf>
    <xf numFmtId="0" fontId="23" fillId="8" borderId="5" xfId="0" applyFont="1" applyFill="1" applyBorder="1" applyAlignment="1">
      <alignment horizontal="center"/>
    </xf>
    <xf numFmtId="0" fontId="20" fillId="0" borderId="9" xfId="0" applyFont="1" applyBorder="1" applyAlignment="1">
      <alignment horizontal="center" vertical="center" wrapText="1"/>
    </xf>
    <xf numFmtId="0" fontId="64" fillId="25" borderId="49" xfId="50" applyFont="1" applyFill="1" applyBorder="1" applyAlignment="1" applyProtection="1">
      <alignment horizontal="center" vertical="center"/>
    </xf>
    <xf numFmtId="0" fontId="64" fillId="25" borderId="50" xfId="50" applyFont="1" applyFill="1" applyBorder="1" applyAlignment="1" applyProtection="1">
      <alignment horizontal="center" vertical="center"/>
    </xf>
    <xf numFmtId="0" fontId="64" fillId="25" borderId="51" xfId="50" applyFont="1" applyFill="1" applyBorder="1" applyAlignment="1" applyProtection="1">
      <alignment horizontal="center" vertical="center"/>
    </xf>
    <xf numFmtId="0" fontId="23" fillId="16" borderId="2" xfId="0" applyFont="1" applyFill="1" applyBorder="1" applyAlignment="1">
      <alignment horizontal="center" vertical="center"/>
    </xf>
    <xf numFmtId="0" fontId="73" fillId="0" borderId="28" xfId="0" applyFont="1" applyBorder="1" applyAlignment="1">
      <alignment horizontal="center" vertical="center" wrapText="1"/>
    </xf>
    <xf numFmtId="0" fontId="73" fillId="0" borderId="0" xfId="0" applyFont="1" applyAlignment="1">
      <alignment horizontal="center" vertical="center" wrapText="1"/>
    </xf>
    <xf numFmtId="0" fontId="20" fillId="0" borderId="0" xfId="0" applyFont="1" applyAlignment="1">
      <alignment horizontal="left" wrapText="1"/>
    </xf>
    <xf numFmtId="0" fontId="23" fillId="16" borderId="11" xfId="0" applyFont="1" applyFill="1" applyBorder="1" applyAlignment="1">
      <alignment horizontal="center"/>
    </xf>
    <xf numFmtId="0" fontId="23" fillId="16" borderId="8" xfId="0" applyFont="1" applyFill="1" applyBorder="1" applyAlignment="1">
      <alignment horizontal="center"/>
    </xf>
    <xf numFmtId="0" fontId="25" fillId="0" borderId="0" xfId="0" applyFont="1" applyAlignment="1">
      <alignment horizontal="center" wrapText="1"/>
    </xf>
    <xf numFmtId="0" fontId="23" fillId="4" borderId="2" xfId="0" applyFont="1" applyFill="1" applyBorder="1" applyAlignment="1">
      <alignment horizontal="center"/>
    </xf>
    <xf numFmtId="0" fontId="23" fillId="8" borderId="19" xfId="0" applyFont="1" applyFill="1" applyBorder="1" applyAlignment="1">
      <alignment horizontal="center"/>
    </xf>
    <xf numFmtId="0" fontId="23" fillId="8" borderId="20" xfId="0" applyFont="1" applyFill="1" applyBorder="1" applyAlignment="1">
      <alignment horizontal="center"/>
    </xf>
    <xf numFmtId="0" fontId="23" fillId="8" borderId="21" xfId="0" applyFont="1" applyFill="1" applyBorder="1" applyAlignment="1">
      <alignment horizontal="center"/>
    </xf>
    <xf numFmtId="0" fontId="23" fillId="5" borderId="19" xfId="0" applyFont="1" applyFill="1" applyBorder="1" applyAlignment="1">
      <alignment horizontal="left"/>
    </xf>
    <xf numFmtId="0" fontId="23" fillId="5" borderId="20" xfId="0" applyFont="1" applyFill="1" applyBorder="1" applyAlignment="1">
      <alignment horizontal="left"/>
    </xf>
    <xf numFmtId="0" fontId="23" fillId="5" borderId="21" xfId="0" applyFont="1" applyFill="1" applyBorder="1" applyAlignment="1">
      <alignment horizontal="left"/>
    </xf>
    <xf numFmtId="0" fontId="40" fillId="26" borderId="32" xfId="76" applyFont="1" applyFill="1" applyBorder="1" applyAlignment="1">
      <alignment horizontal="center" vertical="center"/>
    </xf>
    <xf numFmtId="0" fontId="40" fillId="26" borderId="6" xfId="76" applyFont="1" applyFill="1" applyBorder="1" applyAlignment="1">
      <alignment horizontal="center" vertical="center"/>
    </xf>
    <xf numFmtId="0" fontId="40" fillId="27" borderId="35" xfId="76" applyFont="1" applyFill="1" applyBorder="1" applyAlignment="1">
      <alignment horizontal="center" vertical="center" wrapText="1"/>
    </xf>
    <xf numFmtId="0" fontId="40" fillId="27" borderId="36" xfId="76" applyFont="1" applyFill="1" applyBorder="1" applyAlignment="1">
      <alignment horizontal="center" vertical="center" wrapText="1"/>
    </xf>
    <xf numFmtId="0" fontId="76" fillId="26" borderId="33" xfId="76" applyFont="1" applyFill="1" applyBorder="1" applyAlignment="1">
      <alignment horizontal="center" vertical="center"/>
    </xf>
    <xf numFmtId="0" fontId="76" fillId="26" borderId="28" xfId="76" applyFont="1" applyFill="1" applyBorder="1" applyAlignment="1">
      <alignment horizontal="center" vertical="center"/>
    </xf>
    <xf numFmtId="0" fontId="78" fillId="27" borderId="35" xfId="76" applyFont="1" applyFill="1" applyBorder="1" applyAlignment="1">
      <alignment horizontal="center" vertical="center" wrapText="1"/>
    </xf>
    <xf numFmtId="0" fontId="78" fillId="27" borderId="36" xfId="76" applyFont="1" applyFill="1" applyBorder="1" applyAlignment="1">
      <alignment horizontal="center" vertical="center" wrapText="1"/>
    </xf>
    <xf numFmtId="0" fontId="78" fillId="27" borderId="56" xfId="76" applyFont="1" applyFill="1" applyBorder="1" applyAlignment="1">
      <alignment horizontal="center" vertical="center" wrapText="1"/>
    </xf>
    <xf numFmtId="42" fontId="40" fillId="0" borderId="46" xfId="76" applyNumberFormat="1" applyFont="1" applyBorder="1" applyAlignment="1">
      <alignment horizontal="center" vertical="center"/>
    </xf>
    <xf numFmtId="42" fontId="40" fillId="0" borderId="42" xfId="76" applyNumberFormat="1" applyFont="1" applyBorder="1" applyAlignment="1">
      <alignment horizontal="center" vertical="center"/>
    </xf>
    <xf numFmtId="42" fontId="40" fillId="0" borderId="2" xfId="76" applyNumberFormat="1" applyFont="1" applyBorder="1" applyAlignment="1">
      <alignment horizontal="center" vertical="center"/>
    </xf>
    <xf numFmtId="0" fontId="78" fillId="28" borderId="2" xfId="76" applyFont="1" applyFill="1" applyBorder="1" applyAlignment="1">
      <alignment horizontal="center" vertical="center" wrapText="1"/>
    </xf>
    <xf numFmtId="0" fontId="76" fillId="26" borderId="2" xfId="76" applyFont="1" applyFill="1" applyBorder="1" applyAlignment="1">
      <alignment horizontal="center" vertical="center"/>
    </xf>
    <xf numFmtId="42" fontId="40" fillId="0" borderId="44" xfId="76" applyNumberFormat="1" applyFont="1" applyBorder="1" applyAlignment="1">
      <alignment horizontal="center" vertical="center"/>
    </xf>
    <xf numFmtId="42" fontId="40" fillId="0" borderId="45" xfId="76" applyNumberFormat="1" applyFont="1" applyBorder="1" applyAlignment="1">
      <alignment horizontal="center" vertical="center"/>
    </xf>
    <xf numFmtId="0" fontId="76" fillId="26" borderId="43" xfId="76" applyFont="1" applyFill="1" applyBorder="1" applyAlignment="1">
      <alignment horizontal="center" vertical="center"/>
    </xf>
    <xf numFmtId="0" fontId="76" fillId="26" borderId="41" xfId="76" applyFont="1" applyFill="1" applyBorder="1" applyAlignment="1">
      <alignment horizontal="center" vertical="center"/>
    </xf>
    <xf numFmtId="0" fontId="76" fillId="26" borderId="40" xfId="76" applyFont="1" applyFill="1" applyBorder="1" applyAlignment="1">
      <alignment horizontal="center" vertical="center"/>
    </xf>
    <xf numFmtId="0" fontId="40" fillId="26" borderId="41" xfId="76" applyFont="1" applyFill="1" applyBorder="1" applyAlignment="1">
      <alignment horizontal="center" vertical="center" wrapText="1"/>
    </xf>
    <xf numFmtId="0" fontId="40" fillId="26" borderId="0" xfId="76" applyFont="1" applyFill="1" applyAlignment="1">
      <alignment horizontal="center" vertical="center" wrapText="1"/>
    </xf>
    <xf numFmtId="0" fontId="76" fillId="26" borderId="38" xfId="76" applyFont="1" applyFill="1" applyBorder="1" applyAlignment="1">
      <alignment horizontal="center" vertical="center"/>
    </xf>
    <xf numFmtId="42" fontId="40" fillId="0" borderId="37" xfId="76" applyNumberFormat="1" applyFont="1" applyBorder="1" applyAlignment="1">
      <alignment horizontal="center" vertical="center"/>
    </xf>
    <xf numFmtId="42" fontId="40" fillId="0" borderId="56" xfId="76" applyNumberFormat="1" applyFont="1" applyBorder="1" applyAlignment="1">
      <alignment horizontal="center" vertical="center"/>
    </xf>
    <xf numFmtId="0" fontId="76" fillId="26" borderId="34" xfId="76" applyFont="1" applyFill="1" applyBorder="1" applyAlignment="1">
      <alignment horizontal="center" vertical="center"/>
    </xf>
    <xf numFmtId="42" fontId="40" fillId="0" borderId="38" xfId="76" applyNumberFormat="1" applyFont="1" applyBorder="1" applyAlignment="1">
      <alignment horizontal="center" vertical="center"/>
    </xf>
    <xf numFmtId="0" fontId="2" fillId="26" borderId="0" xfId="76" applyFont="1" applyFill="1" applyAlignment="1">
      <alignment horizontal="center"/>
    </xf>
    <xf numFmtId="0" fontId="75" fillId="26" borderId="0" xfId="76" applyFont="1" applyFill="1" applyAlignment="1">
      <alignment horizontal="center" vertical="center" wrapText="1"/>
    </xf>
    <xf numFmtId="0" fontId="75" fillId="26" borderId="29" xfId="76" applyFont="1" applyFill="1" applyBorder="1" applyAlignment="1">
      <alignment horizontal="center" vertical="center" wrapText="1"/>
    </xf>
    <xf numFmtId="0" fontId="68" fillId="26" borderId="0" xfId="76" applyFont="1" applyFill="1" applyAlignment="1">
      <alignment horizontal="center" vertical="center"/>
    </xf>
    <xf numFmtId="0" fontId="68" fillId="26" borderId="29" xfId="76" applyFont="1" applyFill="1" applyBorder="1" applyAlignment="1">
      <alignment horizontal="center" vertical="center"/>
    </xf>
    <xf numFmtId="0" fontId="76" fillId="26" borderId="11" xfId="76" applyFont="1" applyFill="1" applyBorder="1" applyAlignment="1">
      <alignment horizontal="center" vertical="center"/>
    </xf>
    <xf numFmtId="0" fontId="76" fillId="26" borderId="12" xfId="76" applyFont="1" applyFill="1" applyBorder="1" applyAlignment="1">
      <alignment horizontal="center" vertical="center"/>
    </xf>
    <xf numFmtId="0" fontId="76" fillId="26" borderId="8" xfId="76" applyFont="1" applyFill="1" applyBorder="1" applyAlignment="1">
      <alignment horizontal="center" vertical="center"/>
    </xf>
    <xf numFmtId="0" fontId="40" fillId="26" borderId="43" xfId="76" applyFont="1" applyFill="1" applyBorder="1" applyAlignment="1">
      <alignment horizontal="center" vertical="center" wrapText="1"/>
    </xf>
    <xf numFmtId="0" fontId="40" fillId="26" borderId="55" xfId="76" applyFont="1" applyFill="1" applyBorder="1" applyAlignment="1">
      <alignment horizontal="center" vertical="center" wrapText="1"/>
    </xf>
    <xf numFmtId="0" fontId="40" fillId="26" borderId="46" xfId="76" applyFont="1" applyFill="1" applyBorder="1" applyAlignment="1">
      <alignment horizontal="center" vertical="center" wrapText="1"/>
    </xf>
    <xf numFmtId="42" fontId="40" fillId="0" borderId="2" xfId="76" applyNumberFormat="1" applyFont="1" applyBorder="1" applyAlignment="1">
      <alignment horizontal="center" vertical="center" wrapText="1"/>
    </xf>
    <xf numFmtId="0" fontId="40" fillId="0" borderId="2" xfId="76" applyFont="1" applyBorder="1" applyAlignment="1">
      <alignment horizontal="center" vertical="center" wrapText="1"/>
    </xf>
    <xf numFmtId="42" fontId="40" fillId="0" borderId="34" xfId="76" applyNumberFormat="1" applyFont="1" applyBorder="1" applyAlignment="1">
      <alignment horizontal="center" vertical="center"/>
    </xf>
    <xf numFmtId="42" fontId="40" fillId="0" borderId="39" xfId="76" applyNumberFormat="1" applyFont="1" applyBorder="1" applyAlignment="1">
      <alignment horizontal="center" vertical="center"/>
    </xf>
    <xf numFmtId="0" fontId="40" fillId="26" borderId="2" xfId="76" applyFont="1" applyFill="1" applyBorder="1" applyAlignment="1">
      <alignment horizontal="center" vertical="center"/>
    </xf>
    <xf numFmtId="0" fontId="40" fillId="27" borderId="2" xfId="76" applyFont="1" applyFill="1" applyBorder="1" applyAlignment="1">
      <alignment horizontal="center" vertical="center" wrapText="1"/>
    </xf>
    <xf numFmtId="0" fontId="78" fillId="27" borderId="2" xfId="76" applyFont="1" applyFill="1" applyBorder="1" applyAlignment="1">
      <alignment horizontal="center" vertical="center" wrapText="1"/>
    </xf>
    <xf numFmtId="8" fontId="40" fillId="0" borderId="2" xfId="76" applyNumberFormat="1" applyFont="1" applyBorder="1" applyAlignment="1">
      <alignment horizontal="center" vertical="center"/>
    </xf>
    <xf numFmtId="6" fontId="40" fillId="0" borderId="2" xfId="76" applyNumberFormat="1" applyFont="1" applyBorder="1" applyAlignment="1">
      <alignment horizontal="center" vertical="center"/>
    </xf>
    <xf numFmtId="0" fontId="3" fillId="26" borderId="2" xfId="76" applyFill="1" applyBorder="1" applyAlignment="1">
      <alignment horizontal="center"/>
    </xf>
    <xf numFmtId="0" fontId="75" fillId="26" borderId="2" xfId="76" applyFont="1" applyFill="1" applyBorder="1" applyAlignment="1">
      <alignment horizontal="center" vertical="center" wrapText="1"/>
    </xf>
    <xf numFmtId="0" fontId="68" fillId="26" borderId="2" xfId="76" applyFont="1" applyFill="1" applyBorder="1" applyAlignment="1">
      <alignment horizontal="center" vertical="center"/>
    </xf>
    <xf numFmtId="8" fontId="40" fillId="0" borderId="2" xfId="76" applyNumberFormat="1" applyFont="1" applyBorder="1" applyAlignment="1">
      <alignment horizontal="center" vertical="center" wrapText="1"/>
    </xf>
    <xf numFmtId="0" fontId="61" fillId="0" borderId="33" xfId="0" applyFont="1" applyBorder="1" applyAlignment="1">
      <alignment horizontal="center"/>
    </xf>
    <xf numFmtId="0" fontId="61" fillId="0" borderId="6" xfId="0" applyFont="1" applyBorder="1" applyAlignment="1">
      <alignment horizontal="center"/>
    </xf>
    <xf numFmtId="0" fontId="68" fillId="14" borderId="0" xfId="53" applyFont="1" applyFill="1" applyAlignment="1">
      <alignment horizontal="center" vertical="center" wrapText="1"/>
    </xf>
    <xf numFmtId="0" fontId="23" fillId="16" borderId="0" xfId="0" applyFont="1" applyFill="1" applyAlignment="1">
      <alignment horizontal="center"/>
    </xf>
    <xf numFmtId="0" fontId="23" fillId="14" borderId="11" xfId="0" applyFont="1" applyFill="1" applyBorder="1" applyAlignment="1">
      <alignment horizontal="right" vertical="center"/>
    </xf>
    <xf numFmtId="0" fontId="23" fillId="14" borderId="12" xfId="0" applyFont="1" applyFill="1" applyBorder="1" applyAlignment="1">
      <alignment horizontal="right" vertical="center"/>
    </xf>
    <xf numFmtId="0" fontId="23" fillId="14" borderId="8" xfId="0" applyFont="1" applyFill="1" applyBorder="1" applyAlignment="1">
      <alignment horizontal="right" vertical="center"/>
    </xf>
    <xf numFmtId="0" fontId="61" fillId="0" borderId="11" xfId="0" applyFont="1" applyBorder="1" applyAlignment="1">
      <alignment horizontal="right" vertical="center"/>
    </xf>
    <xf numFmtId="0" fontId="61" fillId="0" borderId="12" xfId="0" applyFont="1" applyBorder="1" applyAlignment="1">
      <alignment horizontal="right" vertical="center"/>
    </xf>
    <xf numFmtId="0" fontId="61" fillId="0" borderId="8" xfId="0" applyFont="1" applyBorder="1" applyAlignment="1">
      <alignment horizontal="right" vertical="center"/>
    </xf>
    <xf numFmtId="0" fontId="23" fillId="15" borderId="11" xfId="0" applyFont="1" applyFill="1" applyBorder="1" applyAlignment="1">
      <alignment horizontal="right" vertical="center"/>
    </xf>
    <xf numFmtId="0" fontId="23" fillId="15" borderId="12" xfId="0" applyFont="1" applyFill="1" applyBorder="1" applyAlignment="1">
      <alignment horizontal="right" vertical="center"/>
    </xf>
    <xf numFmtId="0" fontId="23" fillId="15" borderId="8" xfId="0" applyFont="1" applyFill="1" applyBorder="1" applyAlignment="1">
      <alignment horizontal="right" vertic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23" fillId="0" borderId="8" xfId="0" applyFont="1" applyBorder="1" applyAlignment="1">
      <alignment horizontal="left" vertical="center"/>
    </xf>
    <xf numFmtId="0" fontId="23" fillId="0" borderId="11" xfId="0" applyFont="1" applyBorder="1" applyAlignment="1">
      <alignment horizontal="right" vertical="center"/>
    </xf>
    <xf numFmtId="0" fontId="23" fillId="0" borderId="12" xfId="0" applyFont="1" applyBorder="1" applyAlignment="1">
      <alignment horizontal="right" vertical="center"/>
    </xf>
    <xf numFmtId="0" fontId="23" fillId="0" borderId="8" xfId="0" applyFont="1" applyBorder="1" applyAlignment="1">
      <alignment horizontal="right" vertical="center"/>
    </xf>
    <xf numFmtId="0" fontId="23" fillId="11" borderId="11" xfId="0" applyFont="1" applyFill="1" applyBorder="1" applyAlignment="1">
      <alignment horizontal="right" vertical="center"/>
    </xf>
    <xf numFmtId="0" fontId="23" fillId="11" borderId="12" xfId="0" applyFont="1" applyFill="1" applyBorder="1" applyAlignment="1">
      <alignment horizontal="right" vertical="center"/>
    </xf>
    <xf numFmtId="0" fontId="23" fillId="11" borderId="8" xfId="0" applyFont="1" applyFill="1" applyBorder="1" applyAlignment="1">
      <alignment horizontal="right" vertical="center"/>
    </xf>
    <xf numFmtId="0" fontId="23" fillId="16" borderId="11" xfId="0" quotePrefix="1" applyFont="1" applyFill="1" applyBorder="1" applyAlignment="1">
      <alignment horizontal="center" vertical="center" wrapText="1"/>
    </xf>
    <xf numFmtId="0" fontId="23" fillId="16" borderId="12" xfId="0" applyFont="1" applyFill="1" applyBorder="1" applyAlignment="1">
      <alignment horizontal="center" vertical="center" wrapText="1"/>
    </xf>
    <xf numFmtId="0" fontId="23" fillId="16" borderId="8" xfId="0" applyFont="1" applyFill="1" applyBorder="1" applyAlignment="1">
      <alignment horizontal="center" vertical="center" wrapText="1"/>
    </xf>
    <xf numFmtId="0" fontId="26" fillId="0" borderId="2" xfId="0" applyFont="1" applyBorder="1" applyAlignment="1">
      <alignment horizontal="center" vertical="center" wrapText="1"/>
    </xf>
    <xf numFmtId="0" fontId="26" fillId="9" borderId="11"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8" xfId="0" applyFont="1" applyFill="1" applyBorder="1" applyAlignment="1">
      <alignment horizontal="center" vertical="center" wrapText="1"/>
    </xf>
    <xf numFmtId="0" fontId="26" fillId="5" borderId="11"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8" xfId="0" applyFont="1" applyFill="1" applyBorder="1" applyAlignment="1">
      <alignment horizontal="center" vertical="center" wrapText="1"/>
    </xf>
    <xf numFmtId="0" fontId="23" fillId="12" borderId="11" xfId="0" applyFont="1" applyFill="1" applyBorder="1" applyAlignment="1">
      <alignment horizontal="right" vertical="center"/>
    </xf>
    <xf numFmtId="0" fontId="23" fillId="12" borderId="12" xfId="0" applyFont="1" applyFill="1" applyBorder="1" applyAlignment="1">
      <alignment horizontal="right" vertical="center"/>
    </xf>
    <xf numFmtId="0" fontId="23" fillId="12" borderId="8" xfId="0" applyFont="1" applyFill="1" applyBorder="1" applyAlignment="1">
      <alignment horizontal="right" vertical="center"/>
    </xf>
    <xf numFmtId="0" fontId="29" fillId="0" borderId="0" xfId="4" applyFont="1" applyAlignment="1">
      <alignment horizontal="center" vertical="center" wrapText="1"/>
    </xf>
    <xf numFmtId="0" fontId="23" fillId="0" borderId="13" xfId="4" applyFont="1" applyBorder="1" applyAlignment="1">
      <alignment horizontal="justify" vertical="center" wrapText="1"/>
    </xf>
    <xf numFmtId="0" fontId="23" fillId="0" borderId="14" xfId="4" quotePrefix="1" applyFont="1" applyBorder="1" applyAlignment="1">
      <alignment horizontal="justify" vertical="center" wrapText="1"/>
    </xf>
    <xf numFmtId="0" fontId="23" fillId="0" borderId="15" xfId="4" quotePrefix="1" applyFont="1" applyBorder="1" applyAlignment="1">
      <alignment horizontal="justify" vertical="center" wrapText="1"/>
    </xf>
    <xf numFmtId="0" fontId="23" fillId="0" borderId="13" xfId="4" applyFont="1" applyBorder="1" applyAlignment="1">
      <alignment horizontal="right" wrapText="1"/>
    </xf>
    <xf numFmtId="0" fontId="23" fillId="0" borderId="15" xfId="4" applyFont="1" applyBorder="1" applyAlignment="1">
      <alignment horizontal="right" wrapText="1"/>
    </xf>
    <xf numFmtId="0" fontId="23" fillId="0" borderId="14" xfId="4" applyFont="1" applyBorder="1" applyAlignment="1">
      <alignment horizontal="right" wrapText="1"/>
    </xf>
    <xf numFmtId="0" fontId="23" fillId="0" borderId="14" xfId="4" applyFont="1" applyBorder="1" applyAlignment="1">
      <alignment horizontal="justify" vertical="center" wrapText="1"/>
    </xf>
    <xf numFmtId="0" fontId="23" fillId="0" borderId="15" xfId="4" applyFont="1" applyBorder="1" applyAlignment="1">
      <alignment horizontal="justify" vertical="center" wrapText="1"/>
    </xf>
    <xf numFmtId="0" fontId="23" fillId="0" borderId="13" xfId="4" applyFont="1" applyBorder="1" applyAlignment="1">
      <alignment horizontal="justify" vertical="center"/>
    </xf>
    <xf numFmtId="0" fontId="23" fillId="0" borderId="14" xfId="4" applyFont="1" applyBorder="1" applyAlignment="1">
      <alignment horizontal="justify" vertical="center"/>
    </xf>
    <xf numFmtId="0" fontId="23" fillId="0" borderId="15" xfId="4" applyFont="1" applyBorder="1" applyAlignment="1">
      <alignment horizontal="justify" vertical="center"/>
    </xf>
    <xf numFmtId="0" fontId="31" fillId="13" borderId="0" xfId="8" applyFont="1" applyFill="1" applyAlignment="1">
      <alignment horizontal="center" vertical="center" wrapText="1"/>
    </xf>
    <xf numFmtId="0" fontId="25" fillId="17" borderId="0" xfId="8" applyFont="1" applyFill="1" applyAlignment="1">
      <alignment horizontal="center"/>
    </xf>
    <xf numFmtId="0" fontId="32" fillId="0" borderId="0" xfId="8" applyFont="1" applyAlignment="1">
      <alignment horizontal="justify" wrapText="1"/>
    </xf>
    <xf numFmtId="0" fontId="32" fillId="0" borderId="0" xfId="8" applyFont="1" applyAlignment="1">
      <alignment horizontal="justify"/>
    </xf>
    <xf numFmtId="0" fontId="20" fillId="21" borderId="11" xfId="23" applyFill="1" applyBorder="1" applyAlignment="1">
      <alignment horizontal="center" wrapText="1"/>
    </xf>
    <xf numFmtId="0" fontId="20" fillId="21" borderId="8" xfId="23" applyFill="1" applyBorder="1" applyAlignment="1">
      <alignment horizontal="center" wrapText="1"/>
    </xf>
    <xf numFmtId="0" fontId="20" fillId="21" borderId="2" xfId="23" applyFill="1" applyBorder="1" applyAlignment="1">
      <alignment horizontal="center" vertical="center"/>
    </xf>
    <xf numFmtId="10" fontId="23" fillId="4" borderId="2" xfId="0" applyNumberFormat="1" applyFont="1" applyFill="1" applyBorder="1" applyAlignment="1">
      <alignment horizontal="center" vertical="center"/>
    </xf>
    <xf numFmtId="0" fontId="32" fillId="0" borderId="0" xfId="8" applyFont="1" applyFill="1" applyAlignment="1">
      <alignment horizontal="center" vertical="center"/>
    </xf>
    <xf numFmtId="0" fontId="32" fillId="0" borderId="0" xfId="8" applyFont="1" applyFill="1" applyAlignment="1">
      <alignment horizontal="center"/>
    </xf>
    <xf numFmtId="166" fontId="32" fillId="0" borderId="0" xfId="8" applyNumberFormat="1" applyFont="1" applyFill="1" applyAlignment="1">
      <alignment horizontal="center"/>
    </xf>
    <xf numFmtId="166" fontId="32" fillId="0" borderId="0" xfId="8" applyNumberFormat="1" applyFont="1" applyFill="1" applyAlignment="1">
      <alignment horizontal="center" vertical="center"/>
    </xf>
    <xf numFmtId="0" fontId="32" fillId="0" borderId="0" xfId="8" applyFont="1" applyFill="1"/>
    <xf numFmtId="0" fontId="32" fillId="0" borderId="0" xfId="8" applyFont="1" applyFill="1" applyAlignment="1">
      <alignment horizontal="center" vertical="center" wrapText="1"/>
    </xf>
    <xf numFmtId="0" fontId="32" fillId="0" borderId="0" xfId="8" applyFont="1" applyFill="1" applyAlignment="1">
      <alignment horizontal="center" wrapText="1"/>
    </xf>
    <xf numFmtId="2" fontId="32" fillId="0" borderId="0" xfId="8" applyNumberFormat="1" applyFont="1" applyFill="1" applyAlignment="1">
      <alignment horizontal="center" vertical="center"/>
    </xf>
    <xf numFmtId="3" fontId="32" fillId="0" borderId="0" xfId="8" applyNumberFormat="1" applyFont="1" applyFill="1" applyAlignment="1">
      <alignment horizontal="center" vertical="center"/>
    </xf>
    <xf numFmtId="0" fontId="32" fillId="0" borderId="0" xfId="8" applyFont="1" applyFill="1" applyAlignment="1" applyProtection="1">
      <alignment horizontal="center" vertical="center" wrapText="1"/>
      <protection locked="0"/>
    </xf>
    <xf numFmtId="0" fontId="17" fillId="0" borderId="0" xfId="10" applyFill="1" applyAlignment="1">
      <alignment horizontal="center" vertical="center" wrapText="1"/>
    </xf>
    <xf numFmtId="0" fontId="27" fillId="0" borderId="0" xfId="8" applyFont="1" applyFill="1" applyAlignment="1">
      <alignment horizontal="center" vertical="center"/>
    </xf>
    <xf numFmtId="0" fontId="32" fillId="0" borderId="0" xfId="11" applyFont="1" applyFill="1" applyAlignment="1">
      <alignment horizontal="center" wrapText="1"/>
    </xf>
    <xf numFmtId="0" fontId="35" fillId="0" borderId="0" xfId="8" applyFont="1" applyFill="1" applyAlignment="1">
      <alignment horizontal="center" vertical="center"/>
    </xf>
  </cellXfs>
  <cellStyles count="79">
    <cellStyle name="Bueno" xfId="49" builtinId="26"/>
    <cellStyle name="Énfasis1" xfId="13" builtinId="29"/>
    <cellStyle name="Entrada" xfId="3" builtinId="20"/>
    <cellStyle name="Hipervínculo 2" xfId="5" xr:uid="{25E25485-9DD2-42CD-8F1F-EC88AF728A8C}"/>
    <cellStyle name="Hipervínculo 3" xfId="43" xr:uid="{02C061E5-0A4D-4F35-B4C8-3F8945998C3D}"/>
    <cellStyle name="Hyperlink" xfId="42" xr:uid="{8C5DFC44-59FB-4C9D-A02A-E57F9CE6FB02}"/>
    <cellStyle name="Millares 2 2 2" xfId="19" xr:uid="{D44BD01E-5EA3-4DE3-A9F1-754E33745C1B}"/>
    <cellStyle name="Millares 3" xfId="15" xr:uid="{2D194CB1-2915-4DD5-A122-45C00067A709}"/>
    <cellStyle name="Millares 3 2" xfId="47" xr:uid="{DEDB463D-6C1E-4AA0-8065-83B6206BCACE}"/>
    <cellStyle name="Millares 3 2 2" xfId="40" xr:uid="{038C14F0-F1F8-4055-9F98-0097DC688E7B}"/>
    <cellStyle name="Millares 4 2" xfId="17" xr:uid="{0133510C-5036-4C0D-A150-8E9A409663CC}"/>
    <cellStyle name="Millares 6" xfId="25" xr:uid="{2C7A0AD9-3F97-4189-899F-36747338AB60}"/>
    <cellStyle name="Moneda" xfId="1" builtinId="4"/>
    <cellStyle name="Moneda [0] 10" xfId="66" xr:uid="{78BD9D1F-8313-4667-8D2F-C28A2B5C6C7C}"/>
    <cellStyle name="Moneda [0] 11" xfId="70" xr:uid="{BDDDF1B7-7C47-4BDF-AFFD-81B4B9E19899}"/>
    <cellStyle name="Moneda [0] 12" xfId="74" xr:uid="{FDEE4586-5449-404F-A77B-76494D74D539}"/>
    <cellStyle name="Moneda [0] 13" xfId="77" xr:uid="{B2A00DF1-0FD1-4F82-AE05-55B43A7385D8}"/>
    <cellStyle name="Moneda [0] 2" xfId="41" xr:uid="{8468C133-DCE1-4ED8-9378-A5203490B664}"/>
    <cellStyle name="Moneda [0] 2 3" xfId="46" xr:uid="{CC2BE51F-FF37-4D81-AA02-50C706D3F916}"/>
    <cellStyle name="Moneda [0] 3" xfId="52" xr:uid="{2EBD3C4E-55BC-4150-88D4-F6B0C89A152E}"/>
    <cellStyle name="Moneda [0] 3 3" xfId="37" xr:uid="{B758DAFE-DA8C-4F57-B442-91F6B647C104}"/>
    <cellStyle name="Moneda [0] 4" xfId="55" xr:uid="{C4919D7C-4688-4D34-9DE2-82F5EBB01980}"/>
    <cellStyle name="Moneda [0] 5" xfId="56" xr:uid="{71E55A95-40BC-4918-B3D5-2DA2DA2440A0}"/>
    <cellStyle name="Moneda [0] 6" xfId="29" xr:uid="{4097AA24-D03B-4103-B18F-F7F6309C14F7}"/>
    <cellStyle name="Moneda [0] 6 2" xfId="36" xr:uid="{33D13F7D-75A0-4650-9F26-54FAAA389EE9}"/>
    <cellStyle name="Moneda [0] 7" xfId="58" xr:uid="{C21DF1B1-226C-4B68-9CDC-9EDE4F0775E6}"/>
    <cellStyle name="Moneda [0] 8" xfId="60" xr:uid="{0120F839-FF3B-4E50-B190-2D33E6850485}"/>
    <cellStyle name="Moneda [0] 9" xfId="63" xr:uid="{EA16CEDC-B560-45B7-A1C7-CCC75CF40F80}"/>
    <cellStyle name="Moneda 10 2" xfId="22" xr:uid="{9ABD52F0-FF08-4D42-BDF2-EBBDE16761B6}"/>
    <cellStyle name="Moneda 2" xfId="7" xr:uid="{A4A30163-92CF-4722-967C-3F1958685E4F}"/>
    <cellStyle name="Moneda 2 2" xfId="20" xr:uid="{91FC8175-78D6-446F-B58F-59408CB91D01}"/>
    <cellStyle name="Moneda 3" xfId="48" xr:uid="{8B8E52B2-468B-4E4D-8FF4-4EEFD28D7BD6}"/>
    <cellStyle name="Moneda 3 2" xfId="18" xr:uid="{2E5A11F1-C024-4D12-BA97-B650B12EA51A}"/>
    <cellStyle name="Moneda 4" xfId="61" xr:uid="{66A9EDCC-0440-446A-AB00-C620975BD6C3}"/>
    <cellStyle name="Moneda 5" xfId="64" xr:uid="{3041BD5A-B46F-4FE8-9EA3-EB7D04965959}"/>
    <cellStyle name="Moneda 6" xfId="67" xr:uid="{A06F2496-EDF2-4558-AEBA-A7898C7B709A}"/>
    <cellStyle name="Moneda 7" xfId="75" xr:uid="{EA4F9083-D8E8-4A4A-9071-85AF9721A467}"/>
    <cellStyle name="Moneda 8" xfId="78" xr:uid="{A9C75C5F-32EA-40CE-946D-44A0950B2B67}"/>
    <cellStyle name="Normal" xfId="0" builtinId="0"/>
    <cellStyle name="Normal 10" xfId="28" xr:uid="{EEF6212C-7E71-4EF3-A8C2-4EBD961F811F}"/>
    <cellStyle name="Normal 100 6" xfId="8" xr:uid="{ECE91228-F01D-465C-A959-314BAB806617}"/>
    <cellStyle name="Normal 102" xfId="23" xr:uid="{0E339DC3-2C76-4BFF-9823-48A38E6405BE}"/>
    <cellStyle name="Normal 11" xfId="11" xr:uid="{922D5065-BCA7-40B2-BFC5-FF88A2960685}"/>
    <cellStyle name="Normal 12" xfId="53" xr:uid="{D1884C8A-77CB-4A41-BCE9-B3DCD54B6C88}"/>
    <cellStyle name="Normal 13" xfId="24" xr:uid="{28C11A0A-A5AA-40C3-9732-20A4F8743292}"/>
    <cellStyle name="Normal 14" xfId="65" xr:uid="{82D87969-C088-417C-B0F1-6C5B8884ECA8}"/>
    <cellStyle name="Normal 15" xfId="68" xr:uid="{E87033D9-5A2C-47B9-8BED-A18782090B9A}"/>
    <cellStyle name="Normal 16" xfId="69" xr:uid="{1E157543-3343-4466-A3E3-830443C8D37E}"/>
    <cellStyle name="Normal 17" xfId="71" xr:uid="{5DC9C922-9445-4937-AE92-0C9E70CCF099}"/>
    <cellStyle name="Normal 18" xfId="73" xr:uid="{A082C636-972F-4400-BE1A-41E52D5488D8}"/>
    <cellStyle name="Normal 19" xfId="76" xr:uid="{09A671B7-8540-41AD-B013-DC5801B8FA0B}"/>
    <cellStyle name="Normal 2" xfId="4" xr:uid="{36206699-973E-4466-9AF1-B885B73108BC}"/>
    <cellStyle name="Normal 2 2" xfId="12" xr:uid="{EFE00311-9CDA-4EA6-8C00-CDAAD8228A22}"/>
    <cellStyle name="Normal 2 2 2 2" xfId="31" xr:uid="{4EB23DA8-6889-4921-8E51-59E4B9B4DAF3}"/>
    <cellStyle name="Normal 3" xfId="10" xr:uid="{8E21C21D-F17C-463C-A3CB-7E7096B945E4}"/>
    <cellStyle name="Normal 3 2 2" xfId="33" xr:uid="{C050CFA3-F81F-45BB-B28D-735F5023A717}"/>
    <cellStyle name="Normal 3 4" xfId="21" xr:uid="{2D047790-C13F-47D8-87B5-29D5CD3CC07E}"/>
    <cellStyle name="Normal 3 4 2" xfId="38" xr:uid="{1D9EEBDE-3EB1-41EE-939E-2999360673A6}"/>
    <cellStyle name="Normal 3 4 2 2" xfId="72" xr:uid="{28AC75F5-0A53-4589-A358-EE35076A59B6}"/>
    <cellStyle name="Normal 3 5" xfId="34" xr:uid="{68D41205-14F1-4258-8C34-276D7863EBAF}"/>
    <cellStyle name="Normal 4" xfId="51" xr:uid="{00A01055-06C0-4A77-82FA-90B3B74C9D60}"/>
    <cellStyle name="Normal 4 2 2" xfId="30" xr:uid="{16119B13-3CE2-4EB2-8AED-3845DBF2EBFE}"/>
    <cellStyle name="Normal 4 3" xfId="44" xr:uid="{83A5BB76-9580-48AC-90A1-2FBD45C876BE}"/>
    <cellStyle name="Normal 5" xfId="54" xr:uid="{24818478-8D17-4F45-BB04-775CB79A6341}"/>
    <cellStyle name="Normal 6" xfId="57" xr:uid="{E15CB229-F43B-4067-9999-4BD6A13F73E2}"/>
    <cellStyle name="Normal 6 2" xfId="35" xr:uid="{4B65C2E4-8573-4A09-8941-626936F8F590}"/>
    <cellStyle name="Normal 6 2 2" xfId="14" xr:uid="{643CCC9C-2EC0-4668-9847-1E28F64B102B}"/>
    <cellStyle name="Normal 7" xfId="59" xr:uid="{6B753501-EDC6-4035-A22E-A98C0F9D4E17}"/>
    <cellStyle name="Normal 8" xfId="62" xr:uid="{757E5248-8082-4A02-A82D-B402C124ABF2}"/>
    <cellStyle name="Normal 9" xfId="45" xr:uid="{2A62F4F5-3A62-4023-B644-5B1EE5D88B24}"/>
    <cellStyle name="Porcentaje" xfId="2" builtinId="5"/>
    <cellStyle name="Porcentaje 2" xfId="9" xr:uid="{09201CD2-5022-4073-AD53-A10B1F466A58}"/>
    <cellStyle name="Porcentaje 2 2" xfId="32" xr:uid="{B61463F0-3312-4EB6-9DA6-13306F277BF9}"/>
    <cellStyle name="Porcentaje 2 3" xfId="39" xr:uid="{89FA4787-31BA-440A-BF6C-CF29D87A14E5}"/>
    <cellStyle name="Porcentaje 3" xfId="6" xr:uid="{3412B457-484E-4711-91B7-5BF01C8A5055}"/>
    <cellStyle name="Porcentaje 4" xfId="26" xr:uid="{B4BA8E34-C878-4562-858E-45DE6DFE6297}"/>
    <cellStyle name="Porcentual 2" xfId="16" xr:uid="{7470D3E0-3295-4DD9-BBD6-EA2D9BA65A18}"/>
    <cellStyle name="Porcentual 2 2" xfId="27" xr:uid="{0D3FF8A4-8E3F-446A-B9F4-1F57DCDBA1AB}"/>
    <cellStyle name="Total" xfId="50" builtinId="25"/>
  </cellStyles>
  <dxfs count="52">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dxf>
    <dxf>
      <font>
        <b val="0"/>
        <i val="0"/>
        <strike val="0"/>
        <condense val="0"/>
        <extend val="0"/>
        <outline val="0"/>
        <shadow val="0"/>
        <u val="none"/>
        <vertAlign val="baseline"/>
        <sz val="11"/>
        <color auto="1"/>
        <name val="Arial Unicode MS"/>
        <scheme val="none"/>
      </font>
      <numFmt numFmtId="168" formatCode="0.0%"/>
      <fill>
        <patternFill>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quot;$&quot;\ #,##0"/>
      <fill>
        <patternFill>
          <fgColor indexed="64"/>
          <bgColor theme="0"/>
        </patternFill>
      </fill>
      <alignment horizontal="center" vertical="center" textRotation="0" wrapText="0" indent="0" justifyLastLine="0" shrinkToFit="0" readingOrder="0"/>
    </dxf>
    <dxf>
      <font>
        <b val="0"/>
        <strike val="0"/>
        <outline val="0"/>
        <shadow val="0"/>
        <u val="none"/>
        <vertAlign val="baseline"/>
        <sz val="11"/>
        <color auto="1"/>
        <name val="Arial"/>
        <scheme val="none"/>
      </font>
      <numFmt numFmtId="166" formatCode="&quot;$&quot;\ #,##0"/>
      <fill>
        <patternFill patternType="none">
          <fgColor indexed="64"/>
          <bgColor theme="0"/>
        </patternFill>
      </fill>
      <alignment horizontal="center" textRotation="0" wrapText="0" indent="0" justifyLastLine="0" shrinkToFit="0" readingOrder="0"/>
    </dxf>
    <dxf>
      <font>
        <b val="0"/>
        <i val="0"/>
        <strike val="0"/>
        <condense val="0"/>
        <extend val="0"/>
        <outline val="0"/>
        <shadow val="0"/>
        <u val="none"/>
        <vertAlign val="baseline"/>
        <sz val="11"/>
        <color auto="1"/>
        <name val="Arial"/>
        <scheme val="none"/>
      </font>
      <fill>
        <patternFill>
          <fgColor indexed="64"/>
          <bgColor theme="0"/>
        </patternFill>
      </fill>
      <alignment horizontal="center" vertical="center" textRotation="0" wrapText="0" indent="0" justifyLastLine="0" shrinkToFit="0" readingOrder="0"/>
    </dxf>
    <dxf>
      <font>
        <b val="0"/>
        <strike val="0"/>
        <outline val="0"/>
        <shadow val="0"/>
        <sz val="11"/>
        <color auto="1"/>
      </font>
      <fill>
        <patternFill patternType="none">
          <fgColor indexed="64"/>
          <bgColor theme="0"/>
        </patternFill>
      </fill>
      <alignment horizontal="center" textRotation="0" wrapText="0" indent="0" justifyLastLine="0" shrinkToFit="0" readingOrder="0"/>
    </dxf>
    <dxf>
      <font>
        <b val="0"/>
        <strike val="0"/>
        <outline val="0"/>
        <shadow val="0"/>
        <sz val="11"/>
        <color auto="1"/>
      </font>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theme="0"/>
        </patternFill>
      </fill>
      <alignment horizontal="center" vertical="center" textRotation="0" wrapText="0" indent="0" justifyLastLine="0" shrinkToFit="0" readingOrder="0"/>
    </dxf>
    <dxf>
      <font>
        <b val="0"/>
        <strike val="0"/>
        <outline val="0"/>
        <shadow val="0"/>
        <sz val="11"/>
        <color auto="1"/>
      </font>
      <fill>
        <patternFill patternType="none">
          <fgColor indexed="64"/>
          <bgColor theme="0"/>
        </patternFill>
      </fill>
      <alignment horizontal="center" vertical="center" textRotation="0" wrapText="0" indent="0" justifyLastLine="0" shrinkToFit="0" readingOrder="0"/>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sz val="11"/>
        <color auto="1"/>
      </font>
      <fill>
        <patternFill patternType="none">
          <fgColor indexed="64"/>
          <bgColor theme="0"/>
        </patternFill>
      </fill>
      <alignment horizontal="center" textRotation="0" indent="0" justifyLastLine="0" shrinkToFit="0" readingOrder="0"/>
    </dxf>
    <dxf>
      <border>
        <bottom style="thin">
          <color indexed="64"/>
        </bottom>
      </border>
    </dxf>
    <dxf>
      <font>
        <b/>
        <i val="0"/>
        <strike val="0"/>
        <condense val="0"/>
        <extend val="0"/>
        <outline val="0"/>
        <shadow val="0"/>
        <u val="none"/>
        <vertAlign val="baseline"/>
        <sz val="11"/>
        <color auto="1"/>
        <name val="Arial"/>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quot;$&quot;\ #,##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quot;$&quot;\ #,##0"/>
      <border diagonalUp="0" diagonalDown="0">
        <left style="thin">
          <color indexed="64"/>
        </left>
        <right style="thin">
          <color indexed="64"/>
        </right>
        <top style="thin">
          <color indexed="64"/>
        </top>
        <bottom style="thin">
          <color indexed="64"/>
        </bottom>
        <vertical/>
        <horizontal/>
      </border>
    </dxf>
    <dxf>
      <numFmt numFmtId="1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quot;$&quot;\ #,##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quot;$&quot;\ #,##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top style="thin">
          <color indexed="64"/>
        </top>
      </border>
    </dxf>
    <dxf>
      <border outline="0">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theme="4"/>
        </patternFill>
      </fill>
      <alignment horizontal="center" vertical="center" textRotation="0" wrapText="0" indent="0" justifyLastLine="0" shrinkToFit="0" readingOrder="0"/>
      <border diagonalUp="0" diagonalDown="0" outline="0">
        <left style="thin">
          <color indexed="64"/>
        </left>
        <right style="thin">
          <color indexed="64"/>
        </right>
        <top/>
        <bottom/>
      </border>
    </dxf>
    <dxf>
      <alignment horizontal="center" vertical="center" textRotation="0" indent="0" justifyLastLine="0" shrinkToFit="0" readingOrder="0"/>
    </dxf>
    <dxf>
      <numFmt numFmtId="32" formatCode="_-&quot;$&quot;\ * #,##0_-;\-&quot;$&quot;\ * #,##0_-;_-&quot;$&quot;\ * &quot;-&quot;_-;_-@_-"/>
      <alignment horizontal="center" vertical="center" textRotation="0" wrapText="0" indent="0" justifyLastLine="0" shrinkToFit="0" readingOrder="0"/>
      <border diagonalUp="0" diagonalDown="0" outline="0">
        <left style="thin">
          <color rgb="FF00B050"/>
        </left>
        <right style="thin">
          <color rgb="FF00B050"/>
        </right>
        <top style="thin">
          <color rgb="FF00B050"/>
        </top>
        <bottom style="thin">
          <color rgb="FF00B050"/>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rgb="FF00B050"/>
        </left>
        <right style="thin">
          <color rgb="FF00B050"/>
        </right>
        <top style="thin">
          <color rgb="FF00B050"/>
        </top>
        <bottom style="thin">
          <color rgb="FF00B050"/>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rgb="FF00B050"/>
        </left>
        <right style="thin">
          <color rgb="FF00B050"/>
        </right>
        <top style="thin">
          <color rgb="FF00B050"/>
        </top>
        <bottom style="thin">
          <color rgb="FF00B050"/>
        </bottom>
      </border>
    </dxf>
    <dxf>
      <font>
        <b/>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thin">
          <color rgb="FF00B050"/>
        </left>
        <right style="thin">
          <color rgb="FF00B050"/>
        </right>
        <top style="thin">
          <color rgb="FF00B050"/>
        </top>
        <bottom style="thin">
          <color rgb="FF00B050"/>
        </bottom>
      </border>
    </dxf>
    <dxf>
      <font>
        <b/>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right style="thin">
          <color rgb="FF00B050"/>
        </right>
        <top style="thin">
          <color rgb="FF00B050"/>
        </top>
        <bottom style="thin">
          <color rgb="FF00B050"/>
        </bottom>
      </border>
    </dxf>
    <dxf>
      <border outline="0">
        <top style="thin">
          <color rgb="FF00B050"/>
        </top>
      </border>
    </dxf>
    <dxf>
      <border outline="0">
        <left style="thin">
          <color rgb="FF00B050"/>
        </left>
        <right style="thin">
          <color rgb="FF00B050"/>
        </right>
        <top style="thin">
          <color rgb="FF00B050"/>
        </top>
        <bottom style="thin">
          <color rgb="FF00B050"/>
        </bottom>
      </border>
    </dxf>
    <dxf>
      <border outline="0">
        <bottom style="thin">
          <color rgb="FF00B050"/>
        </bottom>
      </border>
    </dxf>
    <dxf>
      <font>
        <b/>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thin">
          <color rgb="FF00B050"/>
        </left>
        <right style="thin">
          <color rgb="FF00B050"/>
        </right>
        <top/>
        <bottom/>
      </border>
    </dxf>
    <dxf>
      <font>
        <b val="0"/>
        <i val="0"/>
        <strike val="0"/>
        <condense val="0"/>
        <extend val="0"/>
        <outline val="0"/>
        <shadow val="0"/>
        <u val="none"/>
        <vertAlign val="baseline"/>
        <sz val="10"/>
        <color auto="1"/>
        <name val="Arial"/>
        <family val="2"/>
        <scheme val="none"/>
      </font>
      <numFmt numFmtId="22" formatCode="mmm\-yy"/>
      <alignment horizontal="center" vertical="bottom" textRotation="0" wrapText="0" indent="0" justifyLastLine="0" shrinkToFit="0" readingOrder="0"/>
      <border diagonalUp="0" diagonalDown="0">
        <left style="thin">
          <color rgb="FF00B050"/>
        </left>
        <right/>
        <top style="thin">
          <color rgb="FF00B050"/>
        </top>
        <bottom style="thin">
          <color rgb="FF00B050"/>
        </bottom>
        <vertical/>
        <horizontal/>
      </border>
    </dxf>
    <dxf>
      <alignment horizontal="center" vertical="bottom" textRotation="0" wrapText="0" indent="0" justifyLastLine="0" shrinkToFit="0" readingOrder="0"/>
      <border diagonalUp="0" diagonalDown="0">
        <left style="thin">
          <color rgb="FF00B050"/>
        </left>
        <right style="thin">
          <color rgb="FF00B050"/>
        </right>
        <top style="thin">
          <color rgb="FF00B050"/>
        </top>
        <bottom style="thin">
          <color rgb="FF00B050"/>
        </bottom>
        <vertical/>
        <horizontal/>
      </border>
    </dxf>
    <dxf>
      <numFmt numFmtId="32" formatCode="_-&quot;$&quot;\ * #,##0_-;\-&quot;$&quot;\ * #,##0_-;_-&quot;$&quot;\ * &quot;-&quot;_-;_-@_-"/>
      <alignment horizontal="general" vertical="center" textRotation="0" wrapText="0" indent="0" justifyLastLine="0" shrinkToFit="0" readingOrder="0"/>
      <border diagonalUp="0" diagonalDown="0">
        <left style="thin">
          <color rgb="FF00B050"/>
        </left>
        <right style="thin">
          <color rgb="FF00B050"/>
        </right>
        <top style="thin">
          <color rgb="FF00B050"/>
        </top>
        <bottom style="thin">
          <color rgb="FF00B050"/>
        </bottom>
        <vertical/>
        <horizontal/>
      </border>
    </dxf>
    <dxf>
      <font>
        <b/>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left style="thin">
          <color rgb="FF00B050"/>
        </left>
        <right style="thin">
          <color rgb="FF00B050"/>
        </right>
        <top style="thin">
          <color rgb="FF00B050"/>
        </top>
        <bottom style="thin">
          <color rgb="FF00B050"/>
        </bottom>
        <vertical/>
        <horizontal/>
      </border>
    </dxf>
    <dxf>
      <font>
        <b/>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left style="thin">
          <color rgb="FF00B050"/>
        </left>
        <right style="thin">
          <color rgb="FF00B050"/>
        </right>
        <top style="thin">
          <color rgb="FF00B050"/>
        </top>
        <bottom style="thin">
          <color rgb="FF00B050"/>
        </bottom>
        <vertical/>
        <horizontal/>
      </border>
    </dxf>
    <dxf>
      <font>
        <b/>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right style="thin">
          <color rgb="FF00B050"/>
        </right>
        <top style="thin">
          <color rgb="FF00B050"/>
        </top>
        <bottom style="thin">
          <color rgb="FF00B050"/>
        </bottom>
        <vertical/>
        <horizontal/>
      </border>
    </dxf>
    <dxf>
      <border outline="0">
        <left style="thin">
          <color rgb="FF00B050"/>
        </left>
        <right style="thin">
          <color rgb="FF00B050"/>
        </right>
        <top style="thin">
          <color rgb="FF00B050"/>
        </top>
        <bottom style="thin">
          <color rgb="FF00B050"/>
        </bottom>
      </border>
    </dxf>
    <dxf>
      <border outline="0">
        <bottom style="thin">
          <color rgb="FF00B050"/>
        </bottom>
      </border>
    </dxf>
    <dxf>
      <font>
        <b/>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thin">
          <color rgb="FF00B050"/>
        </left>
        <right style="thin">
          <color rgb="FF00B050"/>
        </right>
        <top/>
        <bottom/>
      </border>
    </dxf>
  </dxfs>
  <tableStyles count="1" defaultTableStyle="TableStyleMedium2" defaultPivotStyle="PivotStyleLight16">
    <tableStyle name="Invisible" pivot="0" table="0" count="0" xr9:uid="{4173A3A7-0453-46DA-BF35-B5963217CF0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7523e511-f4d5-44c4-b894-6f0af6ce0791" TargetMode="External"/><Relationship Id="rId1" Type="http://schemas.openxmlformats.org/officeDocument/2006/relationships/image" Target="../media/image3.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9</xdr:col>
      <xdr:colOff>672845</xdr:colOff>
      <xdr:row>23</xdr:row>
      <xdr:rowOff>315836</xdr:rowOff>
    </xdr:from>
    <xdr:to>
      <xdr:col>10</xdr:col>
      <xdr:colOff>349929</xdr:colOff>
      <xdr:row>24</xdr:row>
      <xdr:rowOff>179754</xdr:rowOff>
    </xdr:to>
    <xdr:sp macro="" textlink="">
      <xdr:nvSpPr>
        <xdr:cNvPr id="4" name="Llamada ovalada 2">
          <a:extLst>
            <a:ext uri="{FF2B5EF4-FFF2-40B4-BE49-F238E27FC236}">
              <a16:creationId xmlns:a16="http://schemas.microsoft.com/office/drawing/2014/main" id="{2B57EB2B-24EA-49A8-8AE4-69CBB692FE07}"/>
            </a:ext>
          </a:extLst>
        </xdr:cNvPr>
        <xdr:cNvSpPr/>
      </xdr:nvSpPr>
      <xdr:spPr>
        <a:xfrm>
          <a:off x="13546027" y="20277927"/>
          <a:ext cx="1027902" cy="579736"/>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658090</xdr:colOff>
      <xdr:row>23</xdr:row>
      <xdr:rowOff>311727</xdr:rowOff>
    </xdr:from>
    <xdr:to>
      <xdr:col>10</xdr:col>
      <xdr:colOff>411374</xdr:colOff>
      <xdr:row>24</xdr:row>
      <xdr:rowOff>101861</xdr:rowOff>
    </xdr:to>
    <xdr:sp macro="" textlink="">
      <xdr:nvSpPr>
        <xdr:cNvPr id="5" name="CuadroTexto 4">
          <a:extLst>
            <a:ext uri="{FF2B5EF4-FFF2-40B4-BE49-F238E27FC236}">
              <a16:creationId xmlns:a16="http://schemas.microsoft.com/office/drawing/2014/main" id="{15C998B0-51DD-4F07-A7A2-0F210F2DF1F4}"/>
            </a:ext>
          </a:extLst>
        </xdr:cNvPr>
        <xdr:cNvSpPr txBox="1"/>
      </xdr:nvSpPr>
      <xdr:spPr>
        <a:xfrm>
          <a:off x="13531272" y="20273818"/>
          <a:ext cx="1104102" cy="505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50"/>
            <a:t>INSERTAR</a:t>
          </a:r>
          <a:r>
            <a:rPr lang="es-CO" sz="1050" baseline="0"/>
            <a:t> PORCENTAJES DE AIU</a:t>
          </a:r>
          <a:endParaRPr lang="es-CO" sz="1050"/>
        </a:p>
      </xdr:txBody>
    </xdr:sp>
    <xdr:clientData/>
  </xdr:twoCellAnchor>
  <xdr:twoCellAnchor>
    <xdr:from>
      <xdr:col>9</xdr:col>
      <xdr:colOff>1033064</xdr:colOff>
      <xdr:row>28</xdr:row>
      <xdr:rowOff>75691</xdr:rowOff>
    </xdr:from>
    <xdr:to>
      <xdr:col>10</xdr:col>
      <xdr:colOff>710148</xdr:colOff>
      <xdr:row>30</xdr:row>
      <xdr:rowOff>193608</xdr:rowOff>
    </xdr:to>
    <xdr:sp macro="" textlink="">
      <xdr:nvSpPr>
        <xdr:cNvPr id="6" name="Llamada ovalada 2">
          <a:extLst>
            <a:ext uri="{FF2B5EF4-FFF2-40B4-BE49-F238E27FC236}">
              <a16:creationId xmlns:a16="http://schemas.microsoft.com/office/drawing/2014/main" id="{8A6E9985-E119-4AB0-AF6D-DE4F2B65E526}"/>
            </a:ext>
          </a:extLst>
        </xdr:cNvPr>
        <xdr:cNvSpPr/>
      </xdr:nvSpPr>
      <xdr:spPr>
        <a:xfrm>
          <a:off x="13906246" y="21677236"/>
          <a:ext cx="1027902" cy="579736"/>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1018309</xdr:colOff>
      <xdr:row>28</xdr:row>
      <xdr:rowOff>71582</xdr:rowOff>
    </xdr:from>
    <xdr:to>
      <xdr:col>10</xdr:col>
      <xdr:colOff>771593</xdr:colOff>
      <xdr:row>30</xdr:row>
      <xdr:rowOff>115715</xdr:rowOff>
    </xdr:to>
    <xdr:sp macro="" textlink="">
      <xdr:nvSpPr>
        <xdr:cNvPr id="7" name="CuadroTexto 6">
          <a:extLst>
            <a:ext uri="{FF2B5EF4-FFF2-40B4-BE49-F238E27FC236}">
              <a16:creationId xmlns:a16="http://schemas.microsoft.com/office/drawing/2014/main" id="{05775E49-2CE8-49B2-8E2B-4D5E2B2F8D85}"/>
            </a:ext>
          </a:extLst>
        </xdr:cNvPr>
        <xdr:cNvSpPr txBox="1"/>
      </xdr:nvSpPr>
      <xdr:spPr>
        <a:xfrm>
          <a:off x="13891491" y="21673127"/>
          <a:ext cx="1104102" cy="505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50"/>
            <a:t>INSERTAR</a:t>
          </a:r>
          <a:r>
            <a:rPr lang="es-CO" sz="1050" baseline="0"/>
            <a:t> PORCENTAJES DE AIU</a:t>
          </a:r>
          <a:endParaRPr lang="es-CO" sz="105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254000</xdr:colOff>
      <xdr:row>0</xdr:row>
      <xdr:rowOff>63500</xdr:rowOff>
    </xdr:from>
    <xdr:to>
      <xdr:col>0</xdr:col>
      <xdr:colOff>984449</xdr:colOff>
      <xdr:row>2</xdr:row>
      <xdr:rowOff>167640</xdr:rowOff>
    </xdr:to>
    <xdr:pic>
      <xdr:nvPicPr>
        <xdr:cNvPr id="2" name="Imagen 1">
          <a:extLst>
            <a:ext uri="{FF2B5EF4-FFF2-40B4-BE49-F238E27FC236}">
              <a16:creationId xmlns:a16="http://schemas.microsoft.com/office/drawing/2014/main" id="{DFAA43D8-BD3A-41DE-AB6E-55245B5205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63500"/>
          <a:ext cx="730449" cy="9042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254000</xdr:colOff>
      <xdr:row>0</xdr:row>
      <xdr:rowOff>63500</xdr:rowOff>
    </xdr:from>
    <xdr:to>
      <xdr:col>0</xdr:col>
      <xdr:colOff>984449</xdr:colOff>
      <xdr:row>2</xdr:row>
      <xdr:rowOff>171450</xdr:rowOff>
    </xdr:to>
    <xdr:pic>
      <xdr:nvPicPr>
        <xdr:cNvPr id="2" name="Imagen 1">
          <a:extLst>
            <a:ext uri="{FF2B5EF4-FFF2-40B4-BE49-F238E27FC236}">
              <a16:creationId xmlns:a16="http://schemas.microsoft.com/office/drawing/2014/main" id="{D746AEE0-889C-4529-8175-D3DD09E73F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63500"/>
          <a:ext cx="730449" cy="9194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172721</xdr:colOff>
      <xdr:row>23</xdr:row>
      <xdr:rowOff>123009</xdr:rowOff>
    </xdr:from>
    <xdr:to>
      <xdr:col>13</xdr:col>
      <xdr:colOff>198685</xdr:colOff>
      <xdr:row>35</xdr:row>
      <xdr:rowOff>130629</xdr:rowOff>
    </xdr:to>
    <xdr:pic>
      <xdr:nvPicPr>
        <xdr:cNvPr id="7" name="Imagen 6">
          <a:extLst>
            <a:ext uri="{FF2B5EF4-FFF2-40B4-BE49-F238E27FC236}">
              <a16:creationId xmlns:a16="http://schemas.microsoft.com/office/drawing/2014/main" id="{7079515D-9A49-4EF1-A9EB-CA5559BFF166}"/>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7281092" y="4542609"/>
          <a:ext cx="4793907" cy="1999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107576</xdr:colOff>
      <xdr:row>3</xdr:row>
      <xdr:rowOff>26893</xdr:rowOff>
    </xdr:from>
    <xdr:to>
      <xdr:col>10</xdr:col>
      <xdr:colOff>475130</xdr:colOff>
      <xdr:row>22</xdr:row>
      <xdr:rowOff>147346</xdr:rowOff>
    </xdr:to>
    <xdr:pic>
      <xdr:nvPicPr>
        <xdr:cNvPr id="2" name="Imagen 1">
          <a:extLst>
            <a:ext uri="{FF2B5EF4-FFF2-40B4-BE49-F238E27FC236}">
              <a16:creationId xmlns:a16="http://schemas.microsoft.com/office/drawing/2014/main" id="{BBB58BEA-76DB-437B-AB7C-A68A457F980B}"/>
            </a:ext>
          </a:extLst>
        </xdr:cNvPr>
        <xdr:cNvPicPr>
          <a:picLocks noChangeAspect="1"/>
        </xdr:cNvPicPr>
      </xdr:nvPicPr>
      <xdr:blipFill rotWithShape="1">
        <a:blip xmlns:r="http://schemas.openxmlformats.org/officeDocument/2006/relationships" r:embed="rId3"/>
        <a:srcRect l="14815" r="4497"/>
        <a:stretch/>
      </xdr:blipFill>
      <xdr:spPr>
        <a:xfrm>
          <a:off x="7189694" y="1093693"/>
          <a:ext cx="2734236" cy="3419465"/>
        </a:xfrm>
        <a:prstGeom prst="rect">
          <a:avLst/>
        </a:prstGeom>
      </xdr:spPr>
    </xdr:pic>
    <xdr:clientData/>
  </xdr:twoCellAnchor>
  <xdr:twoCellAnchor editAs="oneCell">
    <xdr:from>
      <xdr:col>10</xdr:col>
      <xdr:colOff>448234</xdr:colOff>
      <xdr:row>6</xdr:row>
      <xdr:rowOff>44823</xdr:rowOff>
    </xdr:from>
    <xdr:to>
      <xdr:col>14</xdr:col>
      <xdr:colOff>753036</xdr:colOff>
      <xdr:row>20</xdr:row>
      <xdr:rowOff>124582</xdr:rowOff>
    </xdr:to>
    <xdr:pic>
      <xdr:nvPicPr>
        <xdr:cNvPr id="3" name="Imagen 2">
          <a:extLst>
            <a:ext uri="{FF2B5EF4-FFF2-40B4-BE49-F238E27FC236}">
              <a16:creationId xmlns:a16="http://schemas.microsoft.com/office/drawing/2014/main" id="{2AFB67E7-ECA9-4100-B15D-DD2BB615860E}"/>
            </a:ext>
          </a:extLst>
        </xdr:cNvPr>
        <xdr:cNvPicPr>
          <a:picLocks noChangeAspect="1"/>
        </xdr:cNvPicPr>
      </xdr:nvPicPr>
      <xdr:blipFill>
        <a:blip xmlns:r="http://schemas.openxmlformats.org/officeDocument/2006/relationships" r:embed="rId4"/>
        <a:stretch>
          <a:fillRect/>
        </a:stretch>
      </xdr:blipFill>
      <xdr:spPr>
        <a:xfrm>
          <a:off x="9897034" y="1622611"/>
          <a:ext cx="3460378" cy="2527124"/>
        </a:xfrm>
        <a:prstGeom prst="rect">
          <a:avLst/>
        </a:prstGeom>
      </xdr:spPr>
    </xdr:pic>
    <xdr:clientData/>
  </xdr:twoCellAnchor>
  <xdr:twoCellAnchor editAs="oneCell">
    <xdr:from>
      <xdr:col>6</xdr:col>
      <xdr:colOff>0</xdr:colOff>
      <xdr:row>41</xdr:row>
      <xdr:rowOff>89647</xdr:rowOff>
    </xdr:from>
    <xdr:to>
      <xdr:col>14</xdr:col>
      <xdr:colOff>759336</xdr:colOff>
      <xdr:row>51</xdr:row>
      <xdr:rowOff>119211</xdr:rowOff>
    </xdr:to>
    <xdr:pic>
      <xdr:nvPicPr>
        <xdr:cNvPr id="4" name="Imagen 3">
          <a:extLst>
            <a:ext uri="{FF2B5EF4-FFF2-40B4-BE49-F238E27FC236}">
              <a16:creationId xmlns:a16="http://schemas.microsoft.com/office/drawing/2014/main" id="{13E43D88-7457-4BEB-A3A2-27FA6A362E93}"/>
            </a:ext>
          </a:extLst>
        </xdr:cNvPr>
        <xdr:cNvPicPr>
          <a:picLocks noChangeAspect="1"/>
        </xdr:cNvPicPr>
      </xdr:nvPicPr>
      <xdr:blipFill>
        <a:blip xmlns:r="http://schemas.openxmlformats.org/officeDocument/2006/relationships" r:embed="rId5"/>
        <a:stretch>
          <a:fillRect/>
        </a:stretch>
      </xdr:blipFill>
      <xdr:spPr>
        <a:xfrm>
          <a:off x="6293224" y="7736541"/>
          <a:ext cx="7080013" cy="30685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onte\Downloads\PPTO%20MAICAO.%20LA%20GUAJIRA%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DENA VALOR"/>
      <sheetName val="Datos"/>
      <sheetName val="Resumen"/>
      <sheetName val="Cronograma y Flujo de Fondos"/>
      <sheetName val="Discriminación Presupuesto"/>
      <sheetName val="PRESUPUESTO GENERAL SEGÚN MGA"/>
      <sheetName val="MPMA"/>
      <sheetName val="Presupesto Interventoría"/>
      <sheetName val="Gerencia Proyecto"/>
      <sheetName val="Gestion Social"/>
      <sheetName val="Fiducia"/>
      <sheetName val="Factor Multiplicador"/>
      <sheetName val="Factor Prestacional"/>
      <sheetName val="Gastos de Legalización"/>
      <sheetName val="Mano de Obra"/>
      <sheetName val="Presupuesto General"/>
      <sheetName val="Análisis AIU"/>
      <sheetName val="1.1"/>
      <sheetName val="2.1"/>
      <sheetName val="2.2"/>
      <sheetName val="2.3"/>
      <sheetName val="2.4"/>
      <sheetName val="2.5"/>
      <sheetName val="2.6"/>
      <sheetName val="2.7"/>
      <sheetName val="2.8"/>
      <sheetName val="3.1"/>
      <sheetName val="3.2"/>
      <sheetName val="4.1"/>
      <sheetName val="5.1"/>
      <sheetName val="Materiales"/>
      <sheetName val="Rendimiento"/>
      <sheetName val="Transporte"/>
      <sheetName val="Equip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33684C0-EDE7-4618-854A-6874DCA92E03}" name="Materiales3" displayName="Materiales3" ref="A4:H453" totalsRowShown="0" headerRowDxfId="18" dataDxfId="16" headerRowBorderDxfId="17" tableBorderDxfId="15" totalsRowBorderDxfId="14">
  <autoFilter ref="A4:H453" xr:uid="{00000000-0009-0000-0100-000001000000}"/>
  <tableColumns count="8">
    <tableColumn id="1" xr3:uid="{FFA95C64-7DA0-4166-A422-00E465E67D3C}" name="Codigo" dataDxfId="13"/>
    <tableColumn id="5" xr3:uid="{9571E13D-13E7-462D-B6ED-4F0B5B3AD67C}" name="CATEGORÍA" dataDxfId="12"/>
    <tableColumn id="2" xr3:uid="{F26C4EE4-72DB-4281-B069-16342AA9DA1D}" name="Material" dataDxfId="11"/>
    <tableColumn id="3" xr3:uid="{06FAE055-B6F9-4D39-B0EC-221B7A944847}" name="Unidad" dataDxfId="10"/>
    <tableColumn id="6" xr3:uid="{D5004293-04F4-41B8-9433-0585688B30F8}" name="Peso Kg" dataDxfId="9"/>
    <tableColumn id="4" xr3:uid="{8471C117-D86E-4D70-8E9E-E96C17D86025}" name="Valor Unitario" dataDxfId="8"/>
    <tableColumn id="20" xr3:uid="{F59776AE-CF2E-4D9C-929C-636536ABADFD}" name="PRECIO BASE" dataDxfId="7"/>
    <tableColumn id="19" xr3:uid="{534B682B-FF71-40E3-967C-AFC88D5ED978}" name="AJUSTE POSITIVO" dataDxfId="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82B3EC-6D36-4DA1-965C-49A513F8BC59}" name="Equipoyherramienta" displayName="Equipoyherramienta" ref="A3:F8" totalsRowShown="0" headerRowDxfId="51" headerRowBorderDxfId="50" tableBorderDxfId="49">
  <autoFilter ref="A3:F8" xr:uid="{6982B3EC-6D36-4DA1-965C-49A513F8BC59}"/>
  <tableColumns count="6">
    <tableColumn id="1" xr3:uid="{336846CE-245A-4FF0-9E63-2821F78C27BC}" name="cod" dataDxfId="48"/>
    <tableColumn id="2" xr3:uid="{F472F5CE-5BEC-4FB1-BBAC-D4FFB5AF4477}" name="Descripción" dataDxfId="47"/>
    <tableColumn id="6" xr3:uid="{92C2F184-E4DF-4892-9A09-DACF0745652A}" name="UNIDAD" dataDxfId="46"/>
    <tableColumn id="3" xr3:uid="{946AF8CF-11E6-42B3-8100-2402BE4131BE}" name="Tarifa / día" dataDxfId="45"/>
    <tableColumn id="4" xr3:uid="{E7656350-F8DE-414A-BA5D-E9B412CA71A0}" name="Fuente" dataDxfId="44" dataCellStyle="Hipervínculo 2"/>
    <tableColumn id="5" xr3:uid="{1C85D6BD-5F6B-450A-8E61-9D6422864981}" name="Fecha" dataDxfId="43">
      <calculatedColumnFormula>+F3</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F62D098-83A8-4BC0-983E-2A965A515613}" name="Transp." displayName="Transp." ref="A3:F12" totalsRowShown="0" headerRowDxfId="42" headerRowBorderDxfId="41" tableBorderDxfId="40" totalsRowBorderDxfId="39">
  <autoFilter ref="A3:F12" xr:uid="{7F62D098-83A8-4BC0-983E-2A965A515613}"/>
  <tableColumns count="6">
    <tableColumn id="1" xr3:uid="{5F5000B2-7865-422F-9EFF-DAC183C90069}" name="cod," dataDxfId="38"/>
    <tableColumn id="6" xr3:uid="{B0FF3633-4E97-47DE-B7A9-C37BFCDCAC54}" name="Tipo de Transporte2" dataDxfId="37"/>
    <tableColumn id="2" xr3:uid="{E01FBDBF-F81F-4E89-A3FF-EA6B8C2FA334}" name="Origen" dataDxfId="36"/>
    <tableColumn id="3" xr3:uid="{AE8F12A7-94AA-459F-B2B7-DC5A557CFC65}" name="Destino" dataDxfId="35"/>
    <tableColumn id="4" xr3:uid="{62034CBA-3D84-4306-9939-A3ED3C7E18E1}" name="Valor / Persona" dataDxfId="34"/>
    <tableColumn id="5" xr3:uid="{C8EA3120-46D2-4045-A7C3-E426A4655B8A}" name="Valor / Kg" dataDxfId="3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131E29-FE31-4F7C-A223-3A232932F76E}" name="ManoObra" displayName="ManoObra" ref="A12:K33" totalsRowShown="0" headerRowDxfId="32" headerRowBorderDxfId="31" tableBorderDxfId="30">
  <autoFilter ref="A12:K33" xr:uid="{00000000-0009-0000-0100-000002000000}"/>
  <tableColumns count="11">
    <tableColumn id="8" xr3:uid="{3B28F253-1972-4B50-B6A6-208F986A69BE}" name="Código" dataDxfId="29"/>
    <tableColumn id="1" xr3:uid="{987AD682-B05C-479F-807A-1FC9173FAE8A}" name="Cargo" dataDxfId="28"/>
    <tableColumn id="9" xr3:uid="{1FAE7AD2-14B7-4C53-9BF4-AF51A6FF446E}" name="Categoría" dataDxfId="27"/>
    <tableColumn id="2" xr3:uid="{989ECBBE-CA8B-4534-8463-01071443D25F}" name="Valor mensual base" dataDxfId="26" dataCellStyle="Entrada"/>
    <tableColumn id="3" xr3:uid="{A8E552E3-F043-4A2E-9922-C1C3D73EBBF6}" name="Auxilio de transporte" dataDxfId="25">
      <calculatedColumnFormula>IF(G13&gt;2*$C$5,0,$C$6)</calculatedColumnFormula>
    </tableColumn>
    <tableColumn id="4" xr3:uid="{511A0139-36B5-4EE9-A351-27284D357A9C}" name="Margen positivo" dataDxfId="24">
      <calculatedColumnFormula>$C$7</calculatedColumnFormula>
    </tableColumn>
    <tableColumn id="11" xr3:uid="{A8B73C87-774D-40F0-BA9B-43CCAC00890E}" name="Valor mensual proyectado 2026" dataDxfId="23" dataCellStyle="Entrada">
      <calculatedColumnFormula>+ManoObra[[#This Row],[Valor mensual base]]*(1+ManoObra[[#This Row],[Margen positivo]])</calculatedColumnFormula>
    </tableColumn>
    <tableColumn id="5" xr3:uid="{0656355F-6A06-44F0-9758-BFCFD580E566}" name="Valor Jornal" dataDxfId="22">
      <calculatedColumnFormula>ROUND((D13+E13)/$C$8*(1+F13),0)</calculatedColumnFormula>
    </tableColumn>
    <tableColumn id="6" xr3:uid="{9FB3C868-09E5-4C8F-A702-39387FE2E0A4}" name="Fuente" dataDxfId="21"/>
    <tableColumn id="7" xr3:uid="{79B00831-FE5E-4EDF-86E6-352435F5D95A}" name="Fecha" dataDxfId="20"/>
    <tableColumn id="10" xr3:uid="{360BB187-FBFC-4C40-B01F-0B8DE52B550E}" name="&gt;SMMLV" dataDxfId="19">
      <calculatedColumnFormula>+IF(ManoObra[[#This Row],[Valor mensual base]]&gt;=$C$5,"ok","&lt;SMMLV")</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494FE-E06C-44E2-95C0-68DE759F3038}">
  <sheetPr>
    <pageSetUpPr fitToPage="1"/>
  </sheetPr>
  <dimension ref="B1:H103"/>
  <sheetViews>
    <sheetView tabSelected="1" view="pageBreakPreview" zoomScale="90" zoomScaleNormal="100" zoomScaleSheetLayoutView="90" workbookViewId="0">
      <selection activeCell="C5" sqref="C5"/>
    </sheetView>
  </sheetViews>
  <sheetFormatPr baseColWidth="10" defaultColWidth="11.453125" defaultRowHeight="12.5"/>
  <cols>
    <col min="1" max="1" width="3.453125" style="205" bestFit="1" customWidth="1"/>
    <col min="2" max="2" width="29.7265625" style="205" customWidth="1"/>
    <col min="3" max="3" width="9.81640625" style="205" customWidth="1"/>
    <col min="4" max="4" width="11.453125" style="205"/>
    <col min="5" max="5" width="12.26953125" style="205" customWidth="1"/>
    <col min="6" max="16384" width="11.453125" style="205"/>
  </cols>
  <sheetData>
    <row r="1" spans="2:8" ht="55.9" customHeight="1">
      <c r="B1" s="382" t="s">
        <v>0</v>
      </c>
      <c r="C1" s="382"/>
      <c r="D1" s="382"/>
      <c r="E1" s="382"/>
      <c r="F1" s="382"/>
      <c r="G1" s="382"/>
      <c r="H1" s="382"/>
    </row>
    <row r="2" spans="2:8" ht="13">
      <c r="B2" s="303" t="s">
        <v>1</v>
      </c>
      <c r="C2" s="299" t="s">
        <v>2</v>
      </c>
      <c r="D2" s="300" t="s">
        <v>3</v>
      </c>
    </row>
    <row r="3" spans="2:8">
      <c r="B3" s="304" t="s">
        <v>4</v>
      </c>
      <c r="C3" s="306">
        <v>1</v>
      </c>
      <c r="D3" s="305">
        <v>3</v>
      </c>
    </row>
    <row r="4" spans="2:8">
      <c r="B4" s="304" t="s">
        <v>5</v>
      </c>
      <c r="C4" s="306">
        <v>2</v>
      </c>
      <c r="D4" s="305">
        <v>14</v>
      </c>
    </row>
    <row r="5" spans="2:8">
      <c r="B5" s="304" t="s">
        <v>6</v>
      </c>
      <c r="C5" s="306">
        <v>1</v>
      </c>
      <c r="D5" s="305">
        <v>738</v>
      </c>
    </row>
    <row r="6" spans="2:8" ht="13">
      <c r="B6" s="385" t="s">
        <v>7</v>
      </c>
      <c r="C6" s="386"/>
      <c r="D6" s="307">
        <f>SUM(D3:D5)</f>
        <v>755</v>
      </c>
    </row>
    <row r="8" spans="2:8" ht="26">
      <c r="B8" s="383" t="s">
        <v>8</v>
      </c>
      <c r="C8" s="384"/>
      <c r="D8" s="245" t="s">
        <v>9</v>
      </c>
      <c r="E8" s="245" t="s">
        <v>10</v>
      </c>
      <c r="F8" s="244" t="s">
        <v>11</v>
      </c>
      <c r="G8" s="244" t="s">
        <v>12</v>
      </c>
      <c r="H8" s="244" t="s">
        <v>13</v>
      </c>
    </row>
    <row r="9" spans="2:8">
      <c r="B9" s="9" t="s">
        <v>14</v>
      </c>
      <c r="C9" s="308">
        <v>1</v>
      </c>
      <c r="D9" s="208">
        <v>3</v>
      </c>
      <c r="E9" s="208">
        <f t="shared" ref="E9:E94" si="0">+C9*D9</f>
        <v>3</v>
      </c>
      <c r="F9" s="380">
        <v>120</v>
      </c>
      <c r="G9" s="380">
        <v>50</v>
      </c>
      <c r="H9" s="380" t="s">
        <v>15</v>
      </c>
    </row>
    <row r="10" spans="2:8">
      <c r="B10" s="9" t="s">
        <v>16</v>
      </c>
      <c r="C10" s="308">
        <v>2</v>
      </c>
      <c r="D10" s="208">
        <v>3</v>
      </c>
      <c r="E10" s="208">
        <f t="shared" si="0"/>
        <v>6</v>
      </c>
      <c r="F10" s="381"/>
      <c r="G10" s="381"/>
      <c r="H10" s="381"/>
    </row>
    <row r="11" spans="2:8">
      <c r="B11" s="312" t="s">
        <v>17</v>
      </c>
      <c r="C11" s="308">
        <v>1</v>
      </c>
      <c r="D11" s="208">
        <v>3</v>
      </c>
      <c r="E11" s="208">
        <f t="shared" si="0"/>
        <v>3</v>
      </c>
      <c r="F11" s="381"/>
      <c r="G11" s="381"/>
      <c r="H11" s="381"/>
    </row>
    <row r="12" spans="2:8">
      <c r="B12" s="9" t="s">
        <v>18</v>
      </c>
      <c r="C12" s="308">
        <v>1</v>
      </c>
      <c r="D12" s="208">
        <v>3</v>
      </c>
      <c r="E12" s="208">
        <f t="shared" si="0"/>
        <v>3</v>
      </c>
      <c r="F12" s="381"/>
      <c r="G12" s="381"/>
      <c r="H12" s="381"/>
    </row>
    <row r="13" spans="2:8">
      <c r="B13" s="9" t="s">
        <v>19</v>
      </c>
      <c r="C13" s="308">
        <v>1</v>
      </c>
      <c r="D13" s="208">
        <v>3</v>
      </c>
      <c r="E13" s="208">
        <f t="shared" si="0"/>
        <v>3</v>
      </c>
      <c r="F13" s="381"/>
      <c r="G13" s="381"/>
      <c r="H13" s="381"/>
    </row>
    <row r="14" spans="2:8">
      <c r="B14" s="9" t="s">
        <v>20</v>
      </c>
      <c r="C14" s="308">
        <v>2</v>
      </c>
      <c r="D14" s="208">
        <v>3</v>
      </c>
      <c r="E14" s="208">
        <f t="shared" si="0"/>
        <v>6</v>
      </c>
      <c r="F14" s="381"/>
      <c r="G14" s="381"/>
      <c r="H14" s="381"/>
    </row>
    <row r="15" spans="2:8">
      <c r="B15" s="312" t="s">
        <v>21</v>
      </c>
      <c r="C15" s="308">
        <v>4</v>
      </c>
      <c r="D15" s="208">
        <v>3</v>
      </c>
      <c r="E15" s="208">
        <f t="shared" si="0"/>
        <v>12</v>
      </c>
      <c r="F15" s="381"/>
      <c r="G15" s="381"/>
      <c r="H15" s="381"/>
    </row>
    <row r="16" spans="2:8">
      <c r="B16" s="9" t="s">
        <v>22</v>
      </c>
      <c r="C16" s="308">
        <v>32</v>
      </c>
      <c r="D16" s="208">
        <v>3</v>
      </c>
      <c r="E16" s="208">
        <f t="shared" si="0"/>
        <v>96</v>
      </c>
      <c r="F16" s="381"/>
      <c r="G16" s="381"/>
      <c r="H16" s="381"/>
    </row>
    <row r="17" spans="2:8">
      <c r="B17" s="9" t="s">
        <v>23</v>
      </c>
      <c r="C17" s="308">
        <v>14</v>
      </c>
      <c r="D17" s="208">
        <v>3</v>
      </c>
      <c r="E17" s="208">
        <f t="shared" si="0"/>
        <v>42</v>
      </c>
      <c r="F17" s="381"/>
      <c r="G17" s="381"/>
      <c r="H17" s="381"/>
    </row>
    <row r="18" spans="2:8">
      <c r="B18" s="9" t="s">
        <v>24</v>
      </c>
      <c r="C18" s="308">
        <v>2</v>
      </c>
      <c r="D18" s="208">
        <v>3</v>
      </c>
      <c r="E18" s="208">
        <f t="shared" si="0"/>
        <v>6</v>
      </c>
      <c r="F18" s="381"/>
      <c r="G18" s="381"/>
      <c r="H18" s="381"/>
    </row>
    <row r="19" spans="2:8">
      <c r="B19" s="312" t="s">
        <v>25</v>
      </c>
      <c r="C19" s="308">
        <v>10</v>
      </c>
      <c r="D19" s="208">
        <v>3</v>
      </c>
      <c r="E19" s="208">
        <f t="shared" si="0"/>
        <v>30</v>
      </c>
      <c r="F19" s="381"/>
      <c r="G19" s="381"/>
      <c r="H19" s="381"/>
    </row>
    <row r="20" spans="2:8">
      <c r="B20" s="9" t="s">
        <v>26</v>
      </c>
      <c r="C20" s="308">
        <v>9</v>
      </c>
      <c r="D20" s="208">
        <v>3</v>
      </c>
      <c r="E20" s="208">
        <f t="shared" si="0"/>
        <v>27</v>
      </c>
      <c r="F20" s="381"/>
      <c r="G20" s="381"/>
      <c r="H20" s="381"/>
    </row>
    <row r="21" spans="2:8">
      <c r="B21" s="9" t="s">
        <v>26</v>
      </c>
      <c r="C21" s="308">
        <v>1</v>
      </c>
      <c r="D21" s="208">
        <v>3</v>
      </c>
      <c r="E21" s="208">
        <f t="shared" si="0"/>
        <v>3</v>
      </c>
      <c r="F21" s="381"/>
      <c r="G21" s="381"/>
      <c r="H21" s="381"/>
    </row>
    <row r="22" spans="2:8">
      <c r="B22" s="9" t="s">
        <v>26</v>
      </c>
      <c r="C22" s="308">
        <v>1</v>
      </c>
      <c r="D22" s="208">
        <v>3</v>
      </c>
      <c r="E22" s="208">
        <f t="shared" si="0"/>
        <v>3</v>
      </c>
      <c r="F22" s="381"/>
      <c r="G22" s="381"/>
      <c r="H22" s="381"/>
    </row>
    <row r="23" spans="2:8">
      <c r="B23" s="9" t="s">
        <v>27</v>
      </c>
      <c r="C23" s="308">
        <v>48</v>
      </c>
      <c r="D23" s="208">
        <v>3</v>
      </c>
      <c r="E23" s="208">
        <f t="shared" si="0"/>
        <v>144</v>
      </c>
      <c r="F23" s="381"/>
      <c r="G23" s="381"/>
      <c r="H23" s="381"/>
    </row>
    <row r="24" spans="2:8">
      <c r="B24" s="9" t="s">
        <v>28</v>
      </c>
      <c r="C24" s="308">
        <v>1</v>
      </c>
      <c r="D24" s="208">
        <v>3</v>
      </c>
      <c r="E24" s="208">
        <f t="shared" si="0"/>
        <v>3</v>
      </c>
      <c r="F24" s="381"/>
      <c r="G24" s="381"/>
      <c r="H24" s="381"/>
    </row>
    <row r="25" spans="2:8">
      <c r="B25" s="312" t="s">
        <v>29</v>
      </c>
      <c r="C25" s="308">
        <v>10</v>
      </c>
      <c r="D25" s="208">
        <v>3</v>
      </c>
      <c r="E25" s="208">
        <f t="shared" si="0"/>
        <v>30</v>
      </c>
      <c r="F25" s="381"/>
      <c r="G25" s="381"/>
      <c r="H25" s="381"/>
    </row>
    <row r="26" spans="2:8">
      <c r="B26" s="312" t="s">
        <v>29</v>
      </c>
      <c r="C26" s="308">
        <v>1</v>
      </c>
      <c r="D26" s="208">
        <v>3</v>
      </c>
      <c r="E26" s="208">
        <f t="shared" si="0"/>
        <v>3</v>
      </c>
      <c r="F26" s="381"/>
      <c r="G26" s="381"/>
      <c r="H26" s="381"/>
    </row>
    <row r="27" spans="2:8">
      <c r="B27" s="9" t="s">
        <v>30</v>
      </c>
      <c r="C27" s="308">
        <v>3</v>
      </c>
      <c r="D27" s="208">
        <v>3</v>
      </c>
      <c r="E27" s="208">
        <f t="shared" si="0"/>
        <v>9</v>
      </c>
      <c r="F27" s="381"/>
      <c r="G27" s="381"/>
      <c r="H27" s="381"/>
    </row>
    <row r="28" spans="2:8">
      <c r="B28" s="312" t="s">
        <v>31</v>
      </c>
      <c r="C28" s="308">
        <v>1</v>
      </c>
      <c r="D28" s="208">
        <v>3</v>
      </c>
      <c r="E28" s="208">
        <f t="shared" si="0"/>
        <v>3</v>
      </c>
      <c r="F28" s="381"/>
      <c r="G28" s="381"/>
      <c r="H28" s="381"/>
    </row>
    <row r="29" spans="2:8">
      <c r="B29" s="9" t="s">
        <v>32</v>
      </c>
      <c r="C29" s="308">
        <v>17</v>
      </c>
      <c r="D29" s="208">
        <v>3</v>
      </c>
      <c r="E29" s="208">
        <f t="shared" si="0"/>
        <v>51</v>
      </c>
      <c r="F29" s="381"/>
      <c r="G29" s="381"/>
      <c r="H29" s="381"/>
    </row>
    <row r="30" spans="2:8">
      <c r="B30" s="9" t="s">
        <v>33</v>
      </c>
      <c r="C30" s="308">
        <v>24</v>
      </c>
      <c r="D30" s="208">
        <v>3</v>
      </c>
      <c r="E30" s="208">
        <f t="shared" si="0"/>
        <v>72</v>
      </c>
      <c r="F30" s="381"/>
      <c r="G30" s="381"/>
      <c r="H30" s="381"/>
    </row>
    <row r="31" spans="2:8">
      <c r="B31" s="9" t="s">
        <v>33</v>
      </c>
      <c r="C31" s="308">
        <v>1</v>
      </c>
      <c r="D31" s="208">
        <v>3</v>
      </c>
      <c r="E31" s="208">
        <f t="shared" si="0"/>
        <v>3</v>
      </c>
      <c r="F31" s="381"/>
      <c r="G31" s="381"/>
      <c r="H31" s="381"/>
    </row>
    <row r="32" spans="2:8">
      <c r="B32" s="312" t="s">
        <v>34</v>
      </c>
      <c r="C32" s="308">
        <v>2</v>
      </c>
      <c r="D32" s="208">
        <v>3</v>
      </c>
      <c r="E32" s="208">
        <f t="shared" si="0"/>
        <v>6</v>
      </c>
      <c r="F32" s="381"/>
      <c r="G32" s="381"/>
      <c r="H32" s="381"/>
    </row>
    <row r="33" spans="2:8">
      <c r="B33" s="312" t="s">
        <v>35</v>
      </c>
      <c r="C33" s="308">
        <v>25</v>
      </c>
      <c r="D33" s="208">
        <v>3</v>
      </c>
      <c r="E33" s="208">
        <f t="shared" si="0"/>
        <v>75</v>
      </c>
      <c r="F33" s="381"/>
      <c r="G33" s="381"/>
      <c r="H33" s="381"/>
    </row>
    <row r="34" spans="2:8">
      <c r="B34" s="9" t="s">
        <v>36</v>
      </c>
      <c r="C34" s="308">
        <v>1</v>
      </c>
      <c r="D34" s="208">
        <v>3</v>
      </c>
      <c r="E34" s="208">
        <f t="shared" si="0"/>
        <v>3</v>
      </c>
      <c r="F34" s="381"/>
      <c r="G34" s="381"/>
      <c r="H34" s="381"/>
    </row>
    <row r="35" spans="2:8">
      <c r="B35" s="9" t="s">
        <v>37</v>
      </c>
      <c r="C35" s="308">
        <v>1</v>
      </c>
      <c r="D35" s="208">
        <v>3</v>
      </c>
      <c r="E35" s="208">
        <f t="shared" si="0"/>
        <v>3</v>
      </c>
      <c r="F35" s="381"/>
      <c r="G35" s="381"/>
      <c r="H35" s="381"/>
    </row>
    <row r="36" spans="2:8">
      <c r="B36" s="9" t="s">
        <v>38</v>
      </c>
      <c r="C36" s="308">
        <v>2</v>
      </c>
      <c r="D36" s="208">
        <v>3</v>
      </c>
      <c r="E36" s="208">
        <f t="shared" si="0"/>
        <v>6</v>
      </c>
      <c r="F36" s="381"/>
      <c r="G36" s="381"/>
      <c r="H36" s="381"/>
    </row>
    <row r="37" spans="2:8">
      <c r="B37" s="9" t="s">
        <v>39</v>
      </c>
      <c r="C37" s="308">
        <v>4</v>
      </c>
      <c r="D37" s="208">
        <v>3</v>
      </c>
      <c r="E37" s="208">
        <f t="shared" si="0"/>
        <v>12</v>
      </c>
      <c r="F37" s="381"/>
      <c r="G37" s="381"/>
      <c r="H37" s="381"/>
    </row>
    <row r="38" spans="2:8">
      <c r="B38" s="9" t="s">
        <v>40</v>
      </c>
      <c r="C38" s="308">
        <v>12</v>
      </c>
      <c r="D38" s="208">
        <v>3</v>
      </c>
      <c r="E38" s="208">
        <f t="shared" si="0"/>
        <v>36</v>
      </c>
      <c r="F38" s="381"/>
      <c r="G38" s="381"/>
      <c r="H38" s="381"/>
    </row>
    <row r="39" spans="2:8">
      <c r="B39" s="9" t="s">
        <v>41</v>
      </c>
      <c r="C39" s="308">
        <v>1</v>
      </c>
      <c r="D39" s="208">
        <v>3</v>
      </c>
      <c r="E39" s="208">
        <f t="shared" si="0"/>
        <v>3</v>
      </c>
      <c r="F39" s="381"/>
      <c r="G39" s="381"/>
      <c r="H39" s="381"/>
    </row>
    <row r="40" spans="2:8">
      <c r="B40" s="312" t="s">
        <v>42</v>
      </c>
      <c r="C40" s="308">
        <v>1</v>
      </c>
      <c r="D40" s="208">
        <v>3</v>
      </c>
      <c r="E40" s="208">
        <f t="shared" si="0"/>
        <v>3</v>
      </c>
      <c r="F40" s="381"/>
      <c r="G40" s="381"/>
      <c r="H40" s="381"/>
    </row>
    <row r="41" spans="2:8">
      <c r="B41" s="9" t="s">
        <v>43</v>
      </c>
      <c r="C41" s="308">
        <v>2</v>
      </c>
      <c r="D41" s="208">
        <v>3</v>
      </c>
      <c r="E41" s="208">
        <f t="shared" si="0"/>
        <v>6</v>
      </c>
      <c r="F41" s="381"/>
      <c r="G41" s="381"/>
      <c r="H41" s="381"/>
    </row>
    <row r="42" spans="2:8">
      <c r="B42" s="9" t="s">
        <v>44</v>
      </c>
      <c r="C42" s="308">
        <v>1</v>
      </c>
      <c r="D42" s="208">
        <v>3</v>
      </c>
      <c r="E42" s="208">
        <f t="shared" si="0"/>
        <v>3</v>
      </c>
      <c r="F42" s="381"/>
      <c r="G42" s="381"/>
      <c r="H42" s="381"/>
    </row>
    <row r="43" spans="2:8">
      <c r="B43" s="9" t="s">
        <v>45</v>
      </c>
      <c r="C43" s="308">
        <v>3</v>
      </c>
      <c r="D43" s="208">
        <v>3</v>
      </c>
      <c r="E43" s="208">
        <f t="shared" si="0"/>
        <v>9</v>
      </c>
      <c r="F43" s="381"/>
      <c r="G43" s="381"/>
      <c r="H43" s="381"/>
    </row>
    <row r="44" spans="2:8">
      <c r="B44" s="9" t="s">
        <v>46</v>
      </c>
      <c r="C44" s="308">
        <v>11</v>
      </c>
      <c r="D44" s="208">
        <v>3</v>
      </c>
      <c r="E44" s="208">
        <f t="shared" si="0"/>
        <v>33</v>
      </c>
      <c r="F44" s="381"/>
      <c r="G44" s="381"/>
      <c r="H44" s="381"/>
    </row>
    <row r="45" spans="2:8">
      <c r="B45" s="9" t="s">
        <v>47</v>
      </c>
      <c r="C45" s="308">
        <v>26</v>
      </c>
      <c r="D45" s="208">
        <v>3</v>
      </c>
      <c r="E45" s="208">
        <f t="shared" si="0"/>
        <v>78</v>
      </c>
      <c r="F45" s="381"/>
      <c r="G45" s="381"/>
      <c r="H45" s="381"/>
    </row>
    <row r="46" spans="2:8">
      <c r="B46" s="9" t="s">
        <v>48</v>
      </c>
      <c r="C46" s="308">
        <v>1</v>
      </c>
      <c r="D46" s="208">
        <v>3</v>
      </c>
      <c r="E46" s="208">
        <f t="shared" si="0"/>
        <v>3</v>
      </c>
      <c r="F46" s="381"/>
      <c r="G46" s="381"/>
      <c r="H46" s="381"/>
    </row>
    <row r="47" spans="2:8">
      <c r="B47" s="9" t="s">
        <v>49</v>
      </c>
      <c r="C47" s="308">
        <v>3</v>
      </c>
      <c r="D47" s="208">
        <v>3</v>
      </c>
      <c r="E47" s="208">
        <f t="shared" si="0"/>
        <v>9</v>
      </c>
      <c r="F47" s="381"/>
      <c r="G47" s="381"/>
      <c r="H47" s="381"/>
    </row>
    <row r="48" spans="2:8">
      <c r="B48" s="312" t="s">
        <v>50</v>
      </c>
      <c r="C48" s="308">
        <v>7</v>
      </c>
      <c r="D48" s="208">
        <v>3</v>
      </c>
      <c r="E48" s="208">
        <f t="shared" si="0"/>
        <v>21</v>
      </c>
      <c r="F48" s="381"/>
      <c r="G48" s="381"/>
      <c r="H48" s="381"/>
    </row>
    <row r="49" spans="2:8">
      <c r="B49" s="312" t="s">
        <v>50</v>
      </c>
      <c r="C49" s="308">
        <v>1</v>
      </c>
      <c r="D49" s="208">
        <v>3</v>
      </c>
      <c r="E49" s="208">
        <f t="shared" si="0"/>
        <v>3</v>
      </c>
      <c r="F49" s="381"/>
      <c r="G49" s="381"/>
      <c r="H49" s="381"/>
    </row>
    <row r="50" spans="2:8">
      <c r="B50" s="9" t="s">
        <v>51</v>
      </c>
      <c r="C50" s="308">
        <v>1</v>
      </c>
      <c r="D50" s="208">
        <v>3</v>
      </c>
      <c r="E50" s="208">
        <f t="shared" si="0"/>
        <v>3</v>
      </c>
      <c r="F50" s="381"/>
      <c r="G50" s="381"/>
      <c r="H50" s="381"/>
    </row>
    <row r="51" spans="2:8">
      <c r="B51" s="9" t="s">
        <v>52</v>
      </c>
      <c r="C51" s="308">
        <v>21</v>
      </c>
      <c r="D51" s="208">
        <v>3</v>
      </c>
      <c r="E51" s="208">
        <f t="shared" si="0"/>
        <v>63</v>
      </c>
      <c r="F51" s="381"/>
      <c r="G51" s="381"/>
      <c r="H51" s="381"/>
    </row>
    <row r="52" spans="2:8">
      <c r="B52" s="9" t="s">
        <v>53</v>
      </c>
      <c r="C52" s="308">
        <v>17</v>
      </c>
      <c r="D52" s="208">
        <v>3</v>
      </c>
      <c r="E52" s="208">
        <f t="shared" si="0"/>
        <v>51</v>
      </c>
      <c r="F52" s="381"/>
      <c r="G52" s="381"/>
      <c r="H52" s="381"/>
    </row>
    <row r="53" spans="2:8">
      <c r="B53" s="312" t="s">
        <v>54</v>
      </c>
      <c r="C53" s="308">
        <v>1</v>
      </c>
      <c r="D53" s="208">
        <v>3</v>
      </c>
      <c r="E53" s="208">
        <f t="shared" si="0"/>
        <v>3</v>
      </c>
      <c r="F53" s="381"/>
      <c r="G53" s="381"/>
      <c r="H53" s="381"/>
    </row>
    <row r="54" spans="2:8">
      <c r="B54" s="9" t="s">
        <v>55</v>
      </c>
      <c r="C54" s="308">
        <v>23</v>
      </c>
      <c r="D54" s="208">
        <v>3</v>
      </c>
      <c r="E54" s="208">
        <f t="shared" si="0"/>
        <v>69</v>
      </c>
      <c r="F54" s="381"/>
      <c r="G54" s="381"/>
      <c r="H54" s="381"/>
    </row>
    <row r="55" spans="2:8">
      <c r="B55" s="312" t="s">
        <v>56</v>
      </c>
      <c r="C55" s="308">
        <v>15</v>
      </c>
      <c r="D55" s="208">
        <v>3</v>
      </c>
      <c r="E55" s="208">
        <f t="shared" si="0"/>
        <v>45</v>
      </c>
      <c r="F55" s="381"/>
      <c r="G55" s="381"/>
      <c r="H55" s="381"/>
    </row>
    <row r="56" spans="2:8">
      <c r="B56" s="9" t="s">
        <v>57</v>
      </c>
      <c r="C56" s="308">
        <v>18</v>
      </c>
      <c r="D56" s="208">
        <v>3</v>
      </c>
      <c r="E56" s="208">
        <f t="shared" si="0"/>
        <v>54</v>
      </c>
      <c r="F56" s="381"/>
      <c r="G56" s="381"/>
      <c r="H56" s="381"/>
    </row>
    <row r="57" spans="2:8">
      <c r="B57" s="9" t="s">
        <v>58</v>
      </c>
      <c r="C57" s="308">
        <v>1</v>
      </c>
      <c r="D57" s="208">
        <v>3</v>
      </c>
      <c r="E57" s="208">
        <f t="shared" si="0"/>
        <v>3</v>
      </c>
      <c r="F57" s="381"/>
      <c r="G57" s="381"/>
      <c r="H57" s="381"/>
    </row>
    <row r="58" spans="2:8">
      <c r="B58" s="9" t="s">
        <v>59</v>
      </c>
      <c r="C58" s="308">
        <v>1</v>
      </c>
      <c r="D58" s="208">
        <v>3</v>
      </c>
      <c r="E58" s="208">
        <f t="shared" si="0"/>
        <v>3</v>
      </c>
      <c r="F58" s="381"/>
      <c r="G58" s="381"/>
      <c r="H58" s="381"/>
    </row>
    <row r="59" spans="2:8">
      <c r="B59" s="9" t="s">
        <v>60</v>
      </c>
      <c r="C59" s="308">
        <v>16</v>
      </c>
      <c r="D59" s="208">
        <v>3</v>
      </c>
      <c r="E59" s="208">
        <f t="shared" si="0"/>
        <v>48</v>
      </c>
      <c r="F59" s="381"/>
      <c r="G59" s="381"/>
      <c r="H59" s="381"/>
    </row>
    <row r="60" spans="2:8">
      <c r="B60" s="312" t="s">
        <v>61</v>
      </c>
      <c r="C60" s="308">
        <v>4</v>
      </c>
      <c r="D60" s="208">
        <v>3</v>
      </c>
      <c r="E60" s="208">
        <f t="shared" si="0"/>
        <v>12</v>
      </c>
      <c r="F60" s="381"/>
      <c r="G60" s="381"/>
      <c r="H60" s="381"/>
    </row>
    <row r="61" spans="2:8">
      <c r="B61" s="9" t="s">
        <v>62</v>
      </c>
      <c r="C61" s="308">
        <v>1</v>
      </c>
      <c r="D61" s="208">
        <v>3</v>
      </c>
      <c r="E61" s="208">
        <f t="shared" si="0"/>
        <v>3</v>
      </c>
      <c r="F61" s="381"/>
      <c r="G61" s="381"/>
      <c r="H61" s="381"/>
    </row>
    <row r="62" spans="2:8">
      <c r="B62" s="312" t="s">
        <v>63</v>
      </c>
      <c r="C62" s="308">
        <v>23</v>
      </c>
      <c r="D62" s="208">
        <v>3</v>
      </c>
      <c r="E62" s="208">
        <f t="shared" si="0"/>
        <v>69</v>
      </c>
      <c r="F62" s="381"/>
      <c r="G62" s="381"/>
      <c r="H62" s="381"/>
    </row>
    <row r="63" spans="2:8">
      <c r="B63" s="312" t="s">
        <v>63</v>
      </c>
      <c r="C63" s="308">
        <v>1</v>
      </c>
      <c r="D63" s="208">
        <v>3</v>
      </c>
      <c r="E63" s="208">
        <f t="shared" si="0"/>
        <v>3</v>
      </c>
      <c r="F63" s="381"/>
      <c r="G63" s="381"/>
      <c r="H63" s="381"/>
    </row>
    <row r="64" spans="2:8">
      <c r="B64" s="9" t="s">
        <v>64</v>
      </c>
      <c r="C64" s="308">
        <v>24</v>
      </c>
      <c r="D64" s="208">
        <v>3</v>
      </c>
      <c r="E64" s="208">
        <f t="shared" si="0"/>
        <v>72</v>
      </c>
      <c r="F64" s="381"/>
      <c r="G64" s="381"/>
      <c r="H64" s="381"/>
    </row>
    <row r="65" spans="2:8">
      <c r="B65" s="9" t="s">
        <v>65</v>
      </c>
      <c r="C65" s="308">
        <v>1</v>
      </c>
      <c r="D65" s="208">
        <v>3</v>
      </c>
      <c r="E65" s="208">
        <f t="shared" si="0"/>
        <v>3</v>
      </c>
      <c r="F65" s="381"/>
      <c r="G65" s="381"/>
      <c r="H65" s="381"/>
    </row>
    <row r="66" spans="2:8">
      <c r="B66" s="9" t="s">
        <v>66</v>
      </c>
      <c r="C66" s="308">
        <v>18</v>
      </c>
      <c r="D66" s="208">
        <v>3</v>
      </c>
      <c r="E66" s="208">
        <f t="shared" si="0"/>
        <v>54</v>
      </c>
      <c r="F66" s="381"/>
      <c r="G66" s="381"/>
      <c r="H66" s="381"/>
    </row>
    <row r="67" spans="2:8">
      <c r="B67" s="9" t="s">
        <v>67</v>
      </c>
      <c r="C67" s="308">
        <v>1</v>
      </c>
      <c r="D67" s="208">
        <v>3</v>
      </c>
      <c r="E67" s="208">
        <f t="shared" si="0"/>
        <v>3</v>
      </c>
      <c r="F67" s="381"/>
      <c r="G67" s="381"/>
      <c r="H67" s="381"/>
    </row>
    <row r="68" spans="2:8">
      <c r="B68" s="312" t="s">
        <v>68</v>
      </c>
      <c r="C68" s="308">
        <v>7</v>
      </c>
      <c r="D68" s="208">
        <v>3</v>
      </c>
      <c r="E68" s="208">
        <f t="shared" si="0"/>
        <v>21</v>
      </c>
      <c r="F68" s="381"/>
      <c r="G68" s="381"/>
      <c r="H68" s="381"/>
    </row>
    <row r="69" spans="2:8">
      <c r="B69" s="9" t="s">
        <v>69</v>
      </c>
      <c r="C69" s="308">
        <v>1</v>
      </c>
      <c r="D69" s="208">
        <v>3</v>
      </c>
      <c r="E69" s="208">
        <f t="shared" si="0"/>
        <v>3</v>
      </c>
      <c r="F69" s="381"/>
      <c r="G69" s="381"/>
      <c r="H69" s="381"/>
    </row>
    <row r="70" spans="2:8">
      <c r="B70" s="312" t="s">
        <v>70</v>
      </c>
      <c r="C70" s="308">
        <v>29</v>
      </c>
      <c r="D70" s="208">
        <v>3</v>
      </c>
      <c r="E70" s="208">
        <f t="shared" si="0"/>
        <v>87</v>
      </c>
      <c r="F70" s="381"/>
      <c r="G70" s="381"/>
      <c r="H70" s="381"/>
    </row>
    <row r="71" spans="2:8">
      <c r="B71" s="9" t="s">
        <v>71</v>
      </c>
      <c r="C71" s="308">
        <v>2</v>
      </c>
      <c r="D71" s="208">
        <v>3</v>
      </c>
      <c r="E71" s="208">
        <f t="shared" si="0"/>
        <v>6</v>
      </c>
      <c r="F71" s="381"/>
      <c r="G71" s="381"/>
      <c r="H71" s="381"/>
    </row>
    <row r="72" spans="2:8">
      <c r="B72" s="9" t="s">
        <v>72</v>
      </c>
      <c r="C72" s="308">
        <v>8</v>
      </c>
      <c r="D72" s="208">
        <v>3</v>
      </c>
      <c r="E72" s="208">
        <f t="shared" si="0"/>
        <v>24</v>
      </c>
      <c r="F72" s="381"/>
      <c r="G72" s="381"/>
      <c r="H72" s="381"/>
    </row>
    <row r="73" spans="2:8">
      <c r="B73" s="9" t="s">
        <v>73</v>
      </c>
      <c r="C73" s="308">
        <v>1</v>
      </c>
      <c r="D73" s="208">
        <v>3</v>
      </c>
      <c r="E73" s="208">
        <f t="shared" si="0"/>
        <v>3</v>
      </c>
      <c r="F73" s="381"/>
      <c r="G73" s="381"/>
      <c r="H73" s="381"/>
    </row>
    <row r="74" spans="2:8">
      <c r="B74" s="312" t="s">
        <v>74</v>
      </c>
      <c r="C74" s="308">
        <v>1</v>
      </c>
      <c r="D74" s="208">
        <v>3</v>
      </c>
      <c r="E74" s="208">
        <f t="shared" si="0"/>
        <v>3</v>
      </c>
      <c r="F74" s="381"/>
      <c r="G74" s="381"/>
      <c r="H74" s="381"/>
    </row>
    <row r="75" spans="2:8">
      <c r="B75" s="9" t="s">
        <v>75</v>
      </c>
      <c r="C75" s="308">
        <v>33</v>
      </c>
      <c r="D75" s="208">
        <v>3</v>
      </c>
      <c r="E75" s="208">
        <f t="shared" si="0"/>
        <v>99</v>
      </c>
      <c r="F75" s="381"/>
      <c r="G75" s="381"/>
      <c r="H75" s="381"/>
    </row>
    <row r="76" spans="2:8">
      <c r="B76" s="312" t="s">
        <v>76</v>
      </c>
      <c r="C76" s="308">
        <v>9</v>
      </c>
      <c r="D76" s="208">
        <v>3</v>
      </c>
      <c r="E76" s="208">
        <f t="shared" si="0"/>
        <v>27</v>
      </c>
      <c r="F76" s="381"/>
      <c r="G76" s="381"/>
      <c r="H76" s="381"/>
    </row>
    <row r="77" spans="2:8">
      <c r="B77" s="9" t="s">
        <v>77</v>
      </c>
      <c r="C77" s="308">
        <v>5</v>
      </c>
      <c r="D77" s="208">
        <v>3</v>
      </c>
      <c r="E77" s="208">
        <f t="shared" si="0"/>
        <v>15</v>
      </c>
      <c r="F77" s="381"/>
      <c r="G77" s="381"/>
      <c r="H77" s="381"/>
    </row>
    <row r="78" spans="2:8">
      <c r="B78" s="9" t="s">
        <v>78</v>
      </c>
      <c r="C78" s="308">
        <v>9</v>
      </c>
      <c r="D78" s="208">
        <v>3</v>
      </c>
      <c r="E78" s="208">
        <f t="shared" si="0"/>
        <v>27</v>
      </c>
      <c r="F78" s="381"/>
      <c r="G78" s="381"/>
      <c r="H78" s="381"/>
    </row>
    <row r="79" spans="2:8">
      <c r="B79" s="9" t="s">
        <v>79</v>
      </c>
      <c r="C79" s="308">
        <v>3</v>
      </c>
      <c r="D79" s="208">
        <v>3</v>
      </c>
      <c r="E79" s="208">
        <f t="shared" si="0"/>
        <v>9</v>
      </c>
      <c r="F79" s="381"/>
      <c r="G79" s="381"/>
      <c r="H79" s="381"/>
    </row>
    <row r="80" spans="2:8">
      <c r="B80" s="9" t="s">
        <v>80</v>
      </c>
      <c r="C80" s="308">
        <v>1</v>
      </c>
      <c r="D80" s="208">
        <v>3</v>
      </c>
      <c r="E80" s="208">
        <f t="shared" si="0"/>
        <v>3</v>
      </c>
      <c r="F80" s="381"/>
      <c r="G80" s="381"/>
      <c r="H80" s="381"/>
    </row>
    <row r="81" spans="2:8">
      <c r="B81" s="9" t="s">
        <v>81</v>
      </c>
      <c r="C81" s="308">
        <v>1</v>
      </c>
      <c r="D81" s="208">
        <v>3</v>
      </c>
      <c r="E81" s="208">
        <f t="shared" si="0"/>
        <v>3</v>
      </c>
      <c r="F81" s="381"/>
      <c r="G81" s="381"/>
      <c r="H81" s="381"/>
    </row>
    <row r="82" spans="2:8">
      <c r="B82" s="9" t="s">
        <v>82</v>
      </c>
      <c r="C82" s="308">
        <v>41</v>
      </c>
      <c r="D82" s="208">
        <v>3</v>
      </c>
      <c r="E82" s="208">
        <f t="shared" si="0"/>
        <v>123</v>
      </c>
      <c r="F82" s="381"/>
      <c r="G82" s="381"/>
      <c r="H82" s="381"/>
    </row>
    <row r="83" spans="2:8">
      <c r="B83" s="9" t="s">
        <v>83</v>
      </c>
      <c r="C83" s="308">
        <v>25</v>
      </c>
      <c r="D83" s="208">
        <v>3</v>
      </c>
      <c r="E83" s="208">
        <f t="shared" si="0"/>
        <v>75</v>
      </c>
      <c r="F83" s="381"/>
      <c r="G83" s="381"/>
      <c r="H83" s="381"/>
    </row>
    <row r="84" spans="2:8">
      <c r="B84" s="9" t="s">
        <v>84</v>
      </c>
      <c r="C84" s="308">
        <v>1</v>
      </c>
      <c r="D84" s="208">
        <v>3</v>
      </c>
      <c r="E84" s="208">
        <f t="shared" si="0"/>
        <v>3</v>
      </c>
      <c r="F84" s="381"/>
      <c r="G84" s="381"/>
      <c r="H84" s="381"/>
    </row>
    <row r="85" spans="2:8">
      <c r="B85" s="9" t="s">
        <v>85</v>
      </c>
      <c r="C85" s="308">
        <v>1</v>
      </c>
      <c r="D85" s="208">
        <v>3</v>
      </c>
      <c r="E85" s="208">
        <f t="shared" si="0"/>
        <v>3</v>
      </c>
      <c r="F85" s="381"/>
      <c r="G85" s="381"/>
      <c r="H85" s="381"/>
    </row>
    <row r="86" spans="2:8">
      <c r="B86" s="9" t="s">
        <v>86</v>
      </c>
      <c r="C86" s="308">
        <v>5</v>
      </c>
      <c r="D86" s="208">
        <v>3</v>
      </c>
      <c r="E86" s="208">
        <f t="shared" si="0"/>
        <v>15</v>
      </c>
      <c r="F86" s="381"/>
      <c r="G86" s="381"/>
      <c r="H86" s="381"/>
    </row>
    <row r="87" spans="2:8">
      <c r="B87" s="9" t="s">
        <v>86</v>
      </c>
      <c r="C87" s="308">
        <v>1</v>
      </c>
      <c r="D87" s="208">
        <v>3</v>
      </c>
      <c r="E87" s="208">
        <f t="shared" si="0"/>
        <v>3</v>
      </c>
      <c r="F87" s="381"/>
      <c r="G87" s="381"/>
      <c r="H87" s="381"/>
    </row>
    <row r="88" spans="2:8">
      <c r="B88" s="9" t="s">
        <v>87</v>
      </c>
      <c r="C88" s="308">
        <v>1</v>
      </c>
      <c r="D88" s="208">
        <v>3</v>
      </c>
      <c r="E88" s="208">
        <f t="shared" si="0"/>
        <v>3</v>
      </c>
      <c r="F88" s="381"/>
      <c r="G88" s="381"/>
      <c r="H88" s="381"/>
    </row>
    <row r="89" spans="2:8">
      <c r="B89" s="9" t="s">
        <v>88</v>
      </c>
      <c r="C89" s="308">
        <v>41</v>
      </c>
      <c r="D89" s="208">
        <v>3</v>
      </c>
      <c r="E89" s="208">
        <f t="shared" si="0"/>
        <v>123</v>
      </c>
      <c r="F89" s="381"/>
      <c r="G89" s="381"/>
      <c r="H89" s="381"/>
    </row>
    <row r="90" spans="2:8">
      <c r="B90" s="9" t="s">
        <v>89</v>
      </c>
      <c r="C90" s="308">
        <v>15</v>
      </c>
      <c r="D90" s="208">
        <v>3</v>
      </c>
      <c r="E90" s="208">
        <f t="shared" si="0"/>
        <v>45</v>
      </c>
      <c r="F90" s="381"/>
      <c r="G90" s="381"/>
      <c r="H90" s="381"/>
    </row>
    <row r="91" spans="2:8">
      <c r="B91" s="9" t="s">
        <v>89</v>
      </c>
      <c r="C91" s="308">
        <v>3</v>
      </c>
      <c r="D91" s="208">
        <v>3</v>
      </c>
      <c r="E91" s="208">
        <f t="shared" si="0"/>
        <v>9</v>
      </c>
      <c r="F91" s="381"/>
      <c r="G91" s="381"/>
      <c r="H91" s="381"/>
    </row>
    <row r="92" spans="2:8">
      <c r="B92" s="9" t="s">
        <v>90</v>
      </c>
      <c r="C92" s="308">
        <v>5</v>
      </c>
      <c r="D92" s="208">
        <v>3</v>
      </c>
      <c r="E92" s="208">
        <f t="shared" si="0"/>
        <v>15</v>
      </c>
      <c r="F92" s="381"/>
      <c r="G92" s="381"/>
      <c r="H92" s="381"/>
    </row>
    <row r="93" spans="2:8">
      <c r="B93" s="9" t="s">
        <v>91</v>
      </c>
      <c r="C93" s="308">
        <v>17</v>
      </c>
      <c r="D93" s="208">
        <v>3</v>
      </c>
      <c r="E93" s="208">
        <f t="shared" si="0"/>
        <v>51</v>
      </c>
      <c r="F93" s="381"/>
      <c r="G93" s="381"/>
      <c r="H93" s="381"/>
    </row>
    <row r="94" spans="2:8">
      <c r="B94" s="9" t="s">
        <v>92</v>
      </c>
      <c r="C94" s="308">
        <v>11</v>
      </c>
      <c r="D94" s="208">
        <v>3</v>
      </c>
      <c r="E94" s="208">
        <f t="shared" si="0"/>
        <v>33</v>
      </c>
      <c r="F94" s="381"/>
      <c r="G94" s="381"/>
      <c r="H94" s="381"/>
    </row>
    <row r="95" spans="2:8" ht="13">
      <c r="B95" s="219" t="s">
        <v>7</v>
      </c>
      <c r="C95" s="220">
        <f>SUM(C9:C94)</f>
        <v>755</v>
      </c>
      <c r="E95" s="220">
        <f>SUM(E9:E94)</f>
        <v>2265</v>
      </c>
      <c r="F95" s="220">
        <f>+C95</f>
        <v>755</v>
      </c>
      <c r="G95" s="220">
        <f>+C95</f>
        <v>755</v>
      </c>
      <c r="H95" s="220">
        <f>+C95</f>
        <v>755</v>
      </c>
    </row>
    <row r="96" spans="2:8">
      <c r="B96" s="205" t="s">
        <v>93</v>
      </c>
    </row>
    <row r="100" spans="2:7" ht="15.5">
      <c r="B100" s="221"/>
      <c r="C100"/>
      <c r="D100"/>
    </row>
    <row r="101" spans="2:7" ht="15.5">
      <c r="B101" s="221"/>
      <c r="C101"/>
      <c r="D101"/>
    </row>
    <row r="102" spans="2:7" ht="13">
      <c r="B102" s="275"/>
      <c r="C102" s="222"/>
      <c r="D102"/>
      <c r="E102"/>
      <c r="F102"/>
      <c r="G102"/>
    </row>
    <row r="103" spans="2:7" ht="13">
      <c r="B103" s="223"/>
      <c r="C103" s="222"/>
      <c r="D103"/>
      <c r="E103"/>
      <c r="F103"/>
      <c r="G103"/>
    </row>
  </sheetData>
  <mergeCells count="6">
    <mergeCell ref="F9:F94"/>
    <mergeCell ref="G9:G94"/>
    <mergeCell ref="H9:H94"/>
    <mergeCell ref="B1:H1"/>
    <mergeCell ref="B8:C8"/>
    <mergeCell ref="B6:C6"/>
  </mergeCells>
  <pageMargins left="0.70866141732283472" right="0.70866141732283472" top="0.74803149606299213" bottom="0.74803149606299213" header="0.31496062992125984" footer="0.31496062992125984"/>
  <pageSetup scale="91" fitToHeight="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1DBBD-3879-42B1-A3FE-E14766421CC3}">
  <sheetPr>
    <tabColor theme="4" tint="0.59999389629810485"/>
    <pageSetUpPr fitToPage="1"/>
  </sheetPr>
  <dimension ref="A1:G41"/>
  <sheetViews>
    <sheetView showGridLines="0" view="pageBreakPreview" zoomScale="80" zoomScaleNormal="120" zoomScaleSheetLayoutView="80" workbookViewId="0">
      <selection activeCell="F22" sqref="F22"/>
    </sheetView>
  </sheetViews>
  <sheetFormatPr baseColWidth="10" defaultColWidth="11.453125" defaultRowHeight="12.5"/>
  <cols>
    <col min="1" max="1" width="11.453125" style="64"/>
    <col min="2" max="2" width="48.26953125" style="64" customWidth="1"/>
    <col min="3" max="3" width="11.453125" style="64"/>
    <col min="4" max="5" width="11.7265625" style="64" customWidth="1"/>
    <col min="6" max="6" width="15" style="64" customWidth="1"/>
    <col min="7" max="7" width="15.26953125" style="64" customWidth="1"/>
    <col min="8" max="8" width="6.26953125" style="64" customWidth="1"/>
    <col min="9" max="9" width="11.453125" style="64"/>
    <col min="10" max="10" width="11.7265625" style="64" bestFit="1" customWidth="1"/>
    <col min="11" max="16384" width="11.453125" style="64"/>
  </cols>
  <sheetData>
    <row r="1" spans="1:7" ht="18.75" customHeight="1">
      <c r="B1" s="499" t="str">
        <f>+'PRESUPUESTO GENERAL SISFV'!A1</f>
        <v>IMPLEMENTACIÓN DE SOLUCIONES ENERGÉTICAS SOSTENIBLES CON FUENTES NO CONVENCIONALES PARA LAS  COMUNIDADES RURALES DEL MUNICIPIO CARTAGENA DEL CHAIRÁ, DEPARTAMENTO DEL CAQUETÁ</v>
      </c>
      <c r="C1" s="499"/>
      <c r="D1" s="499"/>
      <c r="E1" s="499"/>
      <c r="F1" s="499"/>
      <c r="G1" s="499"/>
    </row>
    <row r="3" spans="1:7" ht="12.75" customHeight="1">
      <c r="B3" s="65" t="s">
        <v>556</v>
      </c>
      <c r="C3" s="66" t="str">
        <f>+'PRESUPUESTO GENERAL SISFV'!A8</f>
        <v>1.4</v>
      </c>
      <c r="D3" s="66"/>
      <c r="E3" s="66"/>
      <c r="F3" s="66"/>
      <c r="G3" s="67" t="s">
        <v>557</v>
      </c>
    </row>
    <row r="4" spans="1:7" ht="99.65" customHeight="1">
      <c r="B4" s="500" t="str">
        <f>+'PRESUPUESTO GENERAL SISFV'!B8</f>
        <v>Acometida principal eléctrica subterránea TIPO II desde los módulos solares hasta el gabinete de diseño especial. Incluye: Hasta 6 m de tubería PVC de 3/4" inmersa dentro del tubo de soporte del panel y subterránea, hasta 2 m de tubería IMC de 3/4" a la vista hasta llegar al gabinete, 2 curvas PVC de 3/4", 2 terminales para tubo IMC de 3/4", 2 curvas galvanizada IMC de 3/4" y hasta 16 m de cable 10 AWG XLPE, 7 m de cable de cobre color verde No. 2 AWG THHN y accesorios de conexión.</v>
      </c>
      <c r="C4" s="506"/>
      <c r="D4" s="506"/>
      <c r="E4" s="507"/>
      <c r="G4" s="68" t="str">
        <f>+'PRESUPUESTO GENERAL SISFV'!C8</f>
        <v>UN</v>
      </c>
    </row>
    <row r="5" spans="1:7" ht="13">
      <c r="B5" s="69"/>
      <c r="G5" s="70"/>
    </row>
    <row r="6" spans="1:7" ht="13">
      <c r="B6" s="71" t="s">
        <v>558</v>
      </c>
    </row>
    <row r="7" spans="1:7" ht="13">
      <c r="A7" s="134" t="s">
        <v>204</v>
      </c>
      <c r="B7" s="72" t="s">
        <v>97</v>
      </c>
      <c r="C7" s="73" t="s">
        <v>364</v>
      </c>
      <c r="D7" s="73" t="s">
        <v>126</v>
      </c>
      <c r="E7" s="73" t="s">
        <v>483</v>
      </c>
      <c r="F7" s="73" t="s">
        <v>365</v>
      </c>
      <c r="G7" s="73" t="s">
        <v>366</v>
      </c>
    </row>
    <row r="8" spans="1:7" ht="14.5">
      <c r="A8" s="135">
        <v>111</v>
      </c>
      <c r="B8" s="104" t="str">
        <f>VLOOKUP(A8,Materiales3[],3,FALSE)</f>
        <v>Cinta roja</v>
      </c>
      <c r="C8" s="75" t="str">
        <f>VLOOKUP(A8,Materiales3[],4,FALSE)</f>
        <v>ML</v>
      </c>
      <c r="D8" s="76">
        <v>6</v>
      </c>
      <c r="E8" s="75">
        <f>VLOOKUP(A8,Materiales3[],5,FALSE)*D8</f>
        <v>0.06</v>
      </c>
      <c r="F8" s="77">
        <f>VLOOKUP(A8,Materiales3[],6,FALSE)</f>
        <v>0</v>
      </c>
      <c r="G8" s="77">
        <f>D8*F8</f>
        <v>0</v>
      </c>
    </row>
    <row r="9" spans="1:7" ht="14.5">
      <c r="A9" s="7">
        <v>83</v>
      </c>
      <c r="B9" s="104" t="str">
        <f>VLOOKUP(A9,Materiales3[],3,FALSE)</f>
        <v>Tuberia conduit PVC tipo A 3/4"</v>
      </c>
      <c r="C9" s="75" t="str">
        <f>VLOOKUP(A9,Materiales3[],4,FALSE)</f>
        <v>ML</v>
      </c>
      <c r="D9" s="76">
        <v>6</v>
      </c>
      <c r="E9" s="75">
        <f>VLOOKUP(A9,Materiales3[],5,FALSE)*D9</f>
        <v>1.1599999999999999</v>
      </c>
      <c r="F9" s="77">
        <f>VLOOKUP(A9,Materiales3[],6,FALSE)</f>
        <v>0</v>
      </c>
      <c r="G9" s="77">
        <f t="shared" ref="G9:G17" si="0">D9*F9</f>
        <v>0</v>
      </c>
    </row>
    <row r="10" spans="1:7" ht="14.5">
      <c r="A10" s="7">
        <v>133</v>
      </c>
      <c r="B10" s="104" t="str">
        <f>VLOOKUP(A10,Materiales3[],3,FALSE)</f>
        <v>Uniones, curvas y terminales IMC. Varios calibres</v>
      </c>
      <c r="C10" s="75" t="str">
        <f>VLOOKUP(A10,Materiales3[],4,FALSE)</f>
        <v>UN</v>
      </c>
      <c r="D10" s="107">
        <v>1</v>
      </c>
      <c r="E10" s="75">
        <f>VLOOKUP(A10,Materiales3[],5,FALSE)*D10</f>
        <v>0.18</v>
      </c>
      <c r="F10" s="77">
        <f>VLOOKUP(A10,Materiales3[],6,FALSE)</f>
        <v>0</v>
      </c>
      <c r="G10" s="77">
        <f t="shared" si="0"/>
        <v>0</v>
      </c>
    </row>
    <row r="11" spans="1:7" ht="14.5">
      <c r="A11" s="7">
        <v>134</v>
      </c>
      <c r="B11" s="104" t="str">
        <f>VLOOKUP(A11,Materiales3[],3,FALSE)</f>
        <v>Tuberia conduit IMC 3/4"</v>
      </c>
      <c r="C11" s="75" t="str">
        <f>VLOOKUP(A11,Materiales3[],4,FALSE)</f>
        <v>ML</v>
      </c>
      <c r="D11" s="107">
        <v>2</v>
      </c>
      <c r="E11" s="75">
        <f>VLOOKUP(A11,Materiales3[],5,FALSE)*D11</f>
        <v>3.4466666666666668</v>
      </c>
      <c r="F11" s="77">
        <f>VLOOKUP(A11,Materiales3[],6,FALSE)</f>
        <v>0</v>
      </c>
      <c r="G11" s="77">
        <f t="shared" si="0"/>
        <v>0</v>
      </c>
    </row>
    <row r="12" spans="1:7" ht="14.5">
      <c r="A12" s="7">
        <v>406</v>
      </c>
      <c r="B12" s="104" t="str">
        <f>VLOOKUP(A12,Materiales3[],3,FALSE)</f>
        <v>Unión conduit metalica EMT 3/4"</v>
      </c>
      <c r="C12" s="75" t="str">
        <f>VLOOKUP(A12,Materiales3[],4,FALSE)</f>
        <v>UN</v>
      </c>
      <c r="D12" s="107">
        <v>2</v>
      </c>
      <c r="E12" s="75">
        <f>VLOOKUP(A12,Materiales3[],5,FALSE)*D12</f>
        <v>0.11600000000000001</v>
      </c>
      <c r="F12" s="77">
        <f>VLOOKUP(A12,Materiales3[],6,FALSE)</f>
        <v>0</v>
      </c>
      <c r="G12" s="77">
        <f t="shared" si="0"/>
        <v>0</v>
      </c>
    </row>
    <row r="13" spans="1:7" ht="14.5">
      <c r="A13" s="7">
        <v>407</v>
      </c>
      <c r="B13" s="104" t="str">
        <f>VLOOKUP(A13,Materiales3[],3,FALSE)</f>
        <v>Terminal conduit metalica EMT 3/4"</v>
      </c>
      <c r="C13" s="75" t="str">
        <f>VLOOKUP(A13,Materiales3[],4,FALSE)</f>
        <v>UN</v>
      </c>
      <c r="D13" s="107">
        <v>2</v>
      </c>
      <c r="E13" s="75">
        <f>VLOOKUP(A13,Materiales3[],5,FALSE)*D13</f>
        <v>0.11600000000000001</v>
      </c>
      <c r="F13" s="77">
        <f>VLOOKUP(A13,Materiales3[],6,FALSE)</f>
        <v>0</v>
      </c>
      <c r="G13" s="77">
        <f t="shared" si="0"/>
        <v>0</v>
      </c>
    </row>
    <row r="14" spans="1:7" ht="14.5">
      <c r="A14" s="7">
        <v>411</v>
      </c>
      <c r="B14" s="104" t="str">
        <f>VLOOKUP(A14,Materiales3[],3,FALSE)</f>
        <v>Curva 90 x 3/4 pulgada conduit PVC</v>
      </c>
      <c r="C14" s="75" t="str">
        <f>VLOOKUP(A14,Materiales3[],4,FALSE)</f>
        <v>UN</v>
      </c>
      <c r="D14" s="107">
        <v>2</v>
      </c>
      <c r="E14" s="75">
        <f>VLOOKUP(A14,Materiales3[],5,FALSE)*D14</f>
        <v>0.06</v>
      </c>
      <c r="F14" s="77">
        <f>VLOOKUP(A14,Materiales3[],6,FALSE)</f>
        <v>0</v>
      </c>
      <c r="G14" s="77">
        <f t="shared" si="0"/>
        <v>0</v>
      </c>
    </row>
    <row r="15" spans="1:7" ht="14.5">
      <c r="A15" s="7">
        <v>24</v>
      </c>
      <c r="B15" s="104" t="str">
        <f>VLOOKUP(A15,Materiales3[],3,FALSE)</f>
        <v>Borna para ponchar varios calibres y terminales</v>
      </c>
      <c r="C15" s="75" t="str">
        <f>VLOOKUP(A15,Materiales3[],4,FALSE)</f>
        <v>UN</v>
      </c>
      <c r="D15" s="107">
        <v>2</v>
      </c>
      <c r="E15" s="75">
        <f>VLOOKUP(A15,Materiales3[],5,FALSE)*D15</f>
        <v>1.6E-2</v>
      </c>
      <c r="F15" s="77">
        <f>VLOOKUP(A15,Materiales3[],6,FALSE)</f>
        <v>0</v>
      </c>
      <c r="G15" s="77">
        <f t="shared" si="0"/>
        <v>0</v>
      </c>
    </row>
    <row r="16" spans="1:7" ht="14.5">
      <c r="A16" s="135">
        <v>238</v>
      </c>
      <c r="B16" s="104" t="str">
        <f>VLOOKUP(A16,Materiales3[],3,FALSE)&amp;" Verde"</f>
        <v>Cable Cu THHN 2 AWG Verde</v>
      </c>
      <c r="C16" s="75" t="str">
        <f>VLOOKUP(A16,Materiales3[],4,FALSE)</f>
        <v>ML</v>
      </c>
      <c r="D16" s="107">
        <f>+(3+3+1)*1</f>
        <v>7</v>
      </c>
      <c r="E16" s="75">
        <f>VLOOKUP(A16,Materiales3[],5,FALSE)*D16</f>
        <v>2.4499999999999997</v>
      </c>
      <c r="F16" s="77">
        <f>VLOOKUP(A16,Materiales3[],6,FALSE)</f>
        <v>0</v>
      </c>
      <c r="G16" s="77">
        <f t="shared" si="0"/>
        <v>0</v>
      </c>
    </row>
    <row r="17" spans="1:7" ht="14.5">
      <c r="A17" s="7">
        <v>131</v>
      </c>
      <c r="B17" s="104" t="str">
        <f>VLOOKUP(A17,Materiales3[],3,FALSE)</f>
        <v>Cable Cu solar XLPE 10 AWG 1kV 120 °C</v>
      </c>
      <c r="C17" s="75" t="str">
        <f>VLOOKUP(A17,Materiales3[],4,FALSE)</f>
        <v>ML</v>
      </c>
      <c r="D17" s="107">
        <f>+(2+3+3)*2</f>
        <v>16</v>
      </c>
      <c r="E17" s="75">
        <f>VLOOKUP(A17,Materiales3[],5,FALSE)*D17</f>
        <v>0.93120000000000003</v>
      </c>
      <c r="F17" s="77">
        <f>VLOOKUP(A17,Materiales3[],6,FALSE)</f>
        <v>0</v>
      </c>
      <c r="G17" s="77">
        <f t="shared" si="0"/>
        <v>0</v>
      </c>
    </row>
    <row r="18" spans="1:7" ht="13">
      <c r="D18" s="82"/>
      <c r="E18" s="82"/>
      <c r="F18" s="83" t="s">
        <v>559</v>
      </c>
      <c r="G18" s="84">
        <f>SUM(G8:G17)</f>
        <v>0</v>
      </c>
    </row>
    <row r="19" spans="1:7">
      <c r="G19" s="108"/>
    </row>
    <row r="20" spans="1:7" ht="13">
      <c r="B20" s="85" t="s">
        <v>560</v>
      </c>
      <c r="G20" s="109"/>
    </row>
    <row r="21" spans="1:7" ht="13">
      <c r="A21" s="134" t="s">
        <v>204</v>
      </c>
      <c r="B21" s="72" t="s">
        <v>97</v>
      </c>
      <c r="C21" s="73" t="s">
        <v>2</v>
      </c>
      <c r="D21" s="73" t="s">
        <v>561</v>
      </c>
      <c r="E21" s="73"/>
      <c r="F21" s="73" t="s">
        <v>99</v>
      </c>
      <c r="G21" s="73" t="s">
        <v>366</v>
      </c>
    </row>
    <row r="22" spans="1:7" ht="14.5">
      <c r="A22" s="135">
        <v>1</v>
      </c>
      <c r="B22" s="78" t="str">
        <f>VLOOKUP(A22,Equipoyherramienta[],2,FALSE)</f>
        <v>Herramienta menor</v>
      </c>
      <c r="C22" s="79" t="str">
        <f>VLOOKUP(A22,Equipoyherramienta[],3,FALSE)</f>
        <v>UN</v>
      </c>
      <c r="D22" s="86">
        <f>VLOOKUP(A22,Equipoyherramienta[],4,FALSE)</f>
        <v>0</v>
      </c>
      <c r="E22" s="86"/>
      <c r="F22" s="106"/>
      <c r="G22" s="86" t="e">
        <f>ROUND(D22/F22,0)</f>
        <v>#DIV/0!</v>
      </c>
    </row>
    <row r="23" spans="1:7">
      <c r="B23" s="78"/>
      <c r="C23" s="79"/>
      <c r="D23" s="81"/>
      <c r="E23" s="81"/>
      <c r="F23" s="87"/>
      <c r="G23" s="88"/>
    </row>
    <row r="24" spans="1:7">
      <c r="B24" s="78"/>
      <c r="C24" s="79"/>
      <c r="D24" s="81"/>
      <c r="E24" s="81"/>
      <c r="F24" s="87"/>
      <c r="G24" s="88"/>
    </row>
    <row r="25" spans="1:7" ht="13">
      <c r="D25" s="82"/>
      <c r="E25" s="82"/>
      <c r="F25" s="83" t="s">
        <v>559</v>
      </c>
      <c r="G25" s="84" t="e">
        <f>SUM(G22:G24)</f>
        <v>#DIV/0!</v>
      </c>
    </row>
    <row r="26" spans="1:7" ht="13">
      <c r="D26" s="82"/>
      <c r="E26" s="82"/>
      <c r="F26" s="82"/>
      <c r="G26" s="89"/>
    </row>
    <row r="27" spans="1:7" ht="13">
      <c r="B27" s="71" t="s">
        <v>562</v>
      </c>
      <c r="G27" s="90"/>
    </row>
    <row r="28" spans="1:7" ht="13">
      <c r="A28" s="134" t="s">
        <v>204</v>
      </c>
      <c r="B28" s="72" t="s">
        <v>97</v>
      </c>
      <c r="C28" s="73" t="s">
        <v>364</v>
      </c>
      <c r="D28" s="73" t="s">
        <v>483</v>
      </c>
      <c r="E28" s="73"/>
      <c r="F28" s="73" t="s">
        <v>570</v>
      </c>
      <c r="G28" s="91" t="s">
        <v>366</v>
      </c>
    </row>
    <row r="29" spans="1:7" ht="50">
      <c r="A29" s="135">
        <v>6</v>
      </c>
      <c r="B29" s="92" t="str">
        <f>VLOOKUP(A29,Transp.[],2,FALSE)</f>
        <v>Carga terrestre desde Bogota hasta Usuario, incluye cargues, descargues, cruces de río, transporte semoviente, transporte fluvia, transporte en vehículo de carga pesada y liviano y cualquier otro tranposte.</v>
      </c>
      <c r="C29" s="75" t="s">
        <v>571</v>
      </c>
      <c r="D29" s="76">
        <f>SUM(E8:E17)</f>
        <v>8.5358666666666654</v>
      </c>
      <c r="E29" s="76"/>
      <c r="F29" s="94">
        <f>VLOOKUP(A29,Transp.[],6,FALSE)</f>
        <v>0</v>
      </c>
      <c r="G29" s="94">
        <f>D29*F29</f>
        <v>0</v>
      </c>
    </row>
    <row r="30" spans="1:7" ht="13.15" customHeight="1">
      <c r="A30" s="135"/>
      <c r="B30" s="92"/>
      <c r="C30" s="75"/>
      <c r="D30" s="76"/>
      <c r="E30" s="76"/>
      <c r="F30" s="94"/>
      <c r="G30" s="94"/>
    </row>
    <row r="31" spans="1:7" ht="13.15" customHeight="1">
      <c r="A31" s="135"/>
      <c r="B31" s="92"/>
      <c r="C31" s="75"/>
      <c r="D31" s="76"/>
      <c r="E31" s="76"/>
      <c r="F31" s="94"/>
      <c r="G31" s="94"/>
    </row>
    <row r="32" spans="1:7" ht="13">
      <c r="D32" s="82"/>
      <c r="E32" s="82"/>
      <c r="F32" s="96" t="s">
        <v>559</v>
      </c>
      <c r="G32" s="84">
        <f>SUM(G29:G31)</f>
        <v>0</v>
      </c>
    </row>
    <row r="34" spans="1:7" ht="13">
      <c r="B34" s="71" t="s">
        <v>566</v>
      </c>
      <c r="D34" s="97"/>
      <c r="E34" s="97"/>
      <c r="F34" s="98"/>
      <c r="G34" s="90"/>
    </row>
    <row r="35" spans="1:7" s="82" customFormat="1" ht="13">
      <c r="A35" s="134" t="s">
        <v>204</v>
      </c>
      <c r="B35" s="73" t="s">
        <v>97</v>
      </c>
      <c r="C35" s="73" t="s">
        <v>567</v>
      </c>
      <c r="D35" s="73" t="s">
        <v>568</v>
      </c>
      <c r="E35" s="73"/>
      <c r="F35" s="73" t="s">
        <v>99</v>
      </c>
      <c r="G35" s="91" t="s">
        <v>366</v>
      </c>
    </row>
    <row r="36" spans="1:7" ht="14.5">
      <c r="A36" s="135">
        <v>1</v>
      </c>
      <c r="B36" s="99" t="str">
        <f>VLOOKUP(A36,ManoObra[],2,FALSE)</f>
        <v>Electricista</v>
      </c>
      <c r="C36" s="100">
        <f>VLOOKUP(A36,ManoObra[],8,FALSE)</f>
        <v>0</v>
      </c>
      <c r="D36" s="87">
        <f>+FP!E27</f>
        <v>0</v>
      </c>
      <c r="E36" s="87"/>
      <c r="F36" s="106"/>
      <c r="G36" s="86" t="e">
        <f>ROUND(C36*D36/F36,0)</f>
        <v>#DIV/0!</v>
      </c>
    </row>
    <row r="37" spans="1:7" ht="14.5">
      <c r="A37" s="135">
        <v>2</v>
      </c>
      <c r="B37" s="99" t="str">
        <f>VLOOKUP(A37,ManoObra[],2,FALSE)</f>
        <v>Ayudante</v>
      </c>
      <c r="C37" s="100">
        <f>VLOOKUP(A37,ManoObra[],8,FALSE)</f>
        <v>0</v>
      </c>
      <c r="D37" s="87">
        <f>+FP!E27</f>
        <v>0</v>
      </c>
      <c r="E37" s="87"/>
      <c r="F37" s="106"/>
      <c r="G37" s="86" t="e">
        <f>ROUND(C37*D37/F37,0)</f>
        <v>#DIV/0!</v>
      </c>
    </row>
    <row r="38" spans="1:7" ht="14.5">
      <c r="A38" s="135"/>
      <c r="B38" s="105"/>
      <c r="C38" s="100"/>
      <c r="D38" s="87"/>
      <c r="E38" s="87"/>
      <c r="F38" s="80"/>
      <c r="G38" s="86"/>
    </row>
    <row r="39" spans="1:7" ht="13">
      <c r="D39" s="82"/>
      <c r="E39" s="82"/>
      <c r="F39" s="96" t="s">
        <v>559</v>
      </c>
      <c r="G39" s="110" t="e">
        <f>SUM(G36:G38)</f>
        <v>#DIV/0!</v>
      </c>
    </row>
    <row r="40" spans="1:7" ht="13">
      <c r="D40" s="82"/>
      <c r="E40" s="82"/>
      <c r="G40" s="90"/>
    </row>
    <row r="41" spans="1:7" ht="12.75" customHeight="1">
      <c r="B41" s="82"/>
      <c r="D41" s="503" t="s">
        <v>569</v>
      </c>
      <c r="E41" s="505"/>
      <c r="F41" s="504"/>
      <c r="G41" s="101" t="e">
        <f>G18+G25+G32+G39</f>
        <v>#DIV/0!</v>
      </c>
    </row>
  </sheetData>
  <mergeCells count="3">
    <mergeCell ref="B1:G1"/>
    <mergeCell ref="B4:E4"/>
    <mergeCell ref="D41:F41"/>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185A5-4E90-4457-B129-BB906589963D}">
  <sheetPr>
    <tabColor theme="4" tint="0.59999389629810485"/>
    <pageSetUpPr fitToPage="1"/>
  </sheetPr>
  <dimension ref="A1:G48"/>
  <sheetViews>
    <sheetView showGridLines="0" view="pageBreakPreview" zoomScale="80" zoomScaleNormal="120" zoomScaleSheetLayoutView="80" workbookViewId="0">
      <selection activeCell="A4" sqref="A4:A50"/>
    </sheetView>
  </sheetViews>
  <sheetFormatPr baseColWidth="10" defaultColWidth="11.453125" defaultRowHeight="12.5"/>
  <cols>
    <col min="1" max="1" width="11.453125" style="64"/>
    <col min="2" max="2" width="48.26953125" style="64" customWidth="1"/>
    <col min="3" max="3" width="11.453125" style="64"/>
    <col min="4" max="5" width="11.7265625" style="64" customWidth="1"/>
    <col min="6" max="6" width="15" style="64" customWidth="1"/>
    <col min="7" max="7" width="15.26953125" style="64" customWidth="1"/>
    <col min="8" max="8" width="6.26953125" style="64" customWidth="1"/>
    <col min="9" max="9" width="11.453125" style="64"/>
    <col min="10" max="10" width="11.7265625" style="64" bestFit="1" customWidth="1"/>
    <col min="11" max="16384" width="11.453125" style="64"/>
  </cols>
  <sheetData>
    <row r="1" spans="1:7" ht="18.75" customHeight="1">
      <c r="B1" s="499" t="str">
        <f>+'PRESUPUESTO GENERAL SISFV'!A1</f>
        <v>IMPLEMENTACIÓN DE SOLUCIONES ENERGÉTICAS SOSTENIBLES CON FUENTES NO CONVENCIONALES PARA LAS  COMUNIDADES RURALES DEL MUNICIPIO CARTAGENA DEL CHAIRÁ, DEPARTAMENTO DEL CAQUETÁ</v>
      </c>
      <c r="C1" s="499"/>
      <c r="D1" s="499"/>
      <c r="E1" s="499"/>
      <c r="F1" s="499"/>
      <c r="G1" s="499"/>
    </row>
    <row r="3" spans="1:7" ht="12.75" customHeight="1">
      <c r="B3" s="65" t="s">
        <v>556</v>
      </c>
      <c r="C3" s="66" t="str">
        <f>+'PRESUPUESTO GENERAL SISFV'!A9</f>
        <v>1.5</v>
      </c>
      <c r="D3" s="66"/>
      <c r="E3" s="66"/>
      <c r="F3" s="66"/>
      <c r="G3" s="67" t="s">
        <v>557</v>
      </c>
    </row>
    <row r="4" spans="1:7" ht="175.15" customHeight="1">
      <c r="B4" s="500" t="str">
        <f>+'PRESUPUESTO GENERAL SISFV'!B9</f>
        <v xml:space="preserve">Suministro e instalación de gabinete Instalacion Tipo I autosoportado en lámina galvanizada de 598 mm de ancho x 840 mm de alto x 460 mm de fondo en lámina CR calibre 18, con pintura electrostática gris rall 70-32,  accesorios, conexionado, cableado, canalización, fijación y protecciones eléctricas incluye DPS de BT, para el alojamiento de equipos y accesorios, tipo interior.
Todas las puertas deberán abrir únicamente en sentido lateral mínimo 120° respecto a la sección horizontal superior del armario, deben poseer una agarradera que facilite su accionamiento y las bisagras deben ser galvanizadas, cromadas, niqueladas o en acero inoxidable, bronce o aluminio suficientemente fuertes para asegurar rígidamente la puerta de la estructura e instaladas sin que pierdan el recubrimiento protector IP 33.
El encerramiento metálico deberá estar debidamente marcado y cumplir con los requerimientos mínimos de seguridad definidos por el RETIE numeral 20.23. </v>
      </c>
      <c r="C4" s="506"/>
      <c r="D4" s="506"/>
      <c r="E4" s="507"/>
      <c r="G4" s="68" t="str">
        <f>+'PRESUPUESTO GENERAL SISFV'!C9</f>
        <v>UN</v>
      </c>
    </row>
    <row r="5" spans="1:7" ht="13">
      <c r="B5" s="69"/>
      <c r="G5" s="70"/>
    </row>
    <row r="6" spans="1:7" ht="13">
      <c r="B6" s="71" t="s">
        <v>558</v>
      </c>
    </row>
    <row r="7" spans="1:7" ht="13">
      <c r="A7" s="134" t="s">
        <v>204</v>
      </c>
      <c r="B7" s="72" t="s">
        <v>97</v>
      </c>
      <c r="C7" s="73" t="s">
        <v>364</v>
      </c>
      <c r="D7" s="73" t="s">
        <v>126</v>
      </c>
      <c r="E7" s="73" t="s">
        <v>483</v>
      </c>
      <c r="F7" s="73" t="s">
        <v>365</v>
      </c>
      <c r="G7" s="73" t="s">
        <v>366</v>
      </c>
    </row>
    <row r="8" spans="1:7" ht="14.5">
      <c r="A8" s="135">
        <v>135</v>
      </c>
      <c r="B8" s="104" t="str">
        <f>VLOOKUP(A8,Materiales3[],3,FALSE)</f>
        <v>Barra bornera tierra con soporte plástico riel din de 10 cm</v>
      </c>
      <c r="C8" s="75" t="str">
        <f>VLOOKUP(A8,Materiales3[],4,FALSE)</f>
        <v>UN</v>
      </c>
      <c r="D8" s="75">
        <v>2</v>
      </c>
      <c r="E8" s="75">
        <f>VLOOKUP(A8,Materiales3[],5,FALSE)*D8</f>
        <v>1</v>
      </c>
      <c r="F8" s="77">
        <f>VLOOKUP(A8,Materiales3[],6,FALSE)</f>
        <v>0</v>
      </c>
      <c r="G8" s="77">
        <f>D8*F8</f>
        <v>0</v>
      </c>
    </row>
    <row r="9" spans="1:7" ht="14.5">
      <c r="A9" s="135">
        <v>136</v>
      </c>
      <c r="B9" s="104" t="str">
        <f>VLOOKUP(A9,Materiales3[],3,FALSE)</f>
        <v>Barra de cobre 12x2x100 mm (incluye aisladores)</v>
      </c>
      <c r="C9" s="75" t="str">
        <f>VLOOKUP(A9,Materiales3[],4,FALSE)</f>
        <v>UN</v>
      </c>
      <c r="D9" s="75">
        <v>3</v>
      </c>
      <c r="E9" s="75">
        <f>VLOOKUP(A9,Materiales3[],5,FALSE)*D9</f>
        <v>3</v>
      </c>
      <c r="F9" s="77">
        <f>VLOOKUP(A9,Materiales3[],6,FALSE)</f>
        <v>0</v>
      </c>
      <c r="G9" s="77">
        <f t="shared" ref="G9:G24" si="0">D9*F9</f>
        <v>0</v>
      </c>
    </row>
    <row r="10" spans="1:7" ht="14.5">
      <c r="A10" s="135">
        <v>137</v>
      </c>
      <c r="B10" s="104" t="str">
        <f>VLOOKUP(A10,Materiales3[],3,FALSE)</f>
        <v xml:space="preserve">Canaleta ranurada dexon 25 x 40 mm </v>
      </c>
      <c r="C10" s="75" t="str">
        <f>VLOOKUP(A10,Materiales3[],4,FALSE)</f>
        <v>ML</v>
      </c>
      <c r="D10" s="75">
        <v>2</v>
      </c>
      <c r="E10" s="75">
        <f>VLOOKUP(A10,Materiales3[],5,FALSE)*D10</f>
        <v>0.2</v>
      </c>
      <c r="F10" s="77">
        <f>VLOOKUP(A10,Materiales3[],6,FALSE)</f>
        <v>0</v>
      </c>
      <c r="G10" s="77">
        <f t="shared" si="0"/>
        <v>0</v>
      </c>
    </row>
    <row r="11" spans="1:7" ht="14.5">
      <c r="A11" s="135">
        <v>138</v>
      </c>
      <c r="B11" s="104" t="str">
        <f>VLOOKUP(A11,Materiales3[],3,FALSE)</f>
        <v>Cinta de amarre dexon 10 cm color blanco</v>
      </c>
      <c r="C11" s="75" t="str">
        <f>VLOOKUP(A11,Materiales3[],4,FALSE)</f>
        <v>UN</v>
      </c>
      <c r="D11" s="75">
        <v>15</v>
      </c>
      <c r="E11" s="75">
        <f>VLOOKUP(A11,Materiales3[],5,FALSE)*D11</f>
        <v>3</v>
      </c>
      <c r="F11" s="77">
        <f>VLOOKUP(A11,Materiales3[],6,FALSE)</f>
        <v>0</v>
      </c>
      <c r="G11" s="77">
        <f t="shared" si="0"/>
        <v>0</v>
      </c>
    </row>
    <row r="12" spans="1:7" ht="75.650000000000006" customHeight="1">
      <c r="A12" s="135">
        <v>139</v>
      </c>
      <c r="B12" s="104" t="str">
        <f>VLOOKUP(A12,Materiales3[],3,FALSE)</f>
        <v>Gabinete metálico con puerta y chapa para equipos y conexiones DC/AC de 598 mm de ancho, 840 mm de alto, 460 cm de fondo (incluye doblefondo, angeos, diseño y fabricación a la medida de los componentes), con soporte interior para batería 48V/100Ah)</v>
      </c>
      <c r="C12" s="75" t="str">
        <f>VLOOKUP(A12,Materiales3[],4,FALSE)</f>
        <v>UN</v>
      </c>
      <c r="D12" s="75">
        <v>1</v>
      </c>
      <c r="E12" s="75">
        <f>VLOOKUP(A12,Materiales3[],5,FALSE)*D12</f>
        <v>15</v>
      </c>
      <c r="F12" s="77">
        <f>VLOOKUP(A12,Materiales3[],6,FALSE)</f>
        <v>0</v>
      </c>
      <c r="G12" s="77">
        <f t="shared" si="0"/>
        <v>0</v>
      </c>
    </row>
    <row r="13" spans="1:7" ht="14.5">
      <c r="A13" s="135">
        <v>140</v>
      </c>
      <c r="B13" s="104" t="str">
        <f>VLOOKUP(A13,Materiales3[],3,FALSE)</f>
        <v>Marcador tipo anillo ar2 (+, -, L, N,T) x 20 Piezas</v>
      </c>
      <c r="C13" s="75" t="str">
        <f>VLOOKUP(A13,Materiales3[],4,FALSE)</f>
        <v>JG</v>
      </c>
      <c r="D13" s="75">
        <v>1</v>
      </c>
      <c r="E13" s="75">
        <f>VLOOKUP(A13,Materiales3[],5,FALSE)*D13</f>
        <v>0.01</v>
      </c>
      <c r="F13" s="77">
        <f>VLOOKUP(A13,Materiales3[],6,FALSE)</f>
        <v>0</v>
      </c>
      <c r="G13" s="77">
        <f t="shared" si="0"/>
        <v>0</v>
      </c>
    </row>
    <row r="14" spans="1:7" ht="14.5">
      <c r="A14" s="135">
        <v>24</v>
      </c>
      <c r="B14" s="104" t="str">
        <f>VLOOKUP(A14,Materiales3[],3,FALSE)</f>
        <v>Borna para ponchar varios calibres y terminales</v>
      </c>
      <c r="C14" s="75" t="str">
        <f>VLOOKUP(A14,Materiales3[],4,FALSE)</f>
        <v>UN</v>
      </c>
      <c r="D14" s="75">
        <v>24</v>
      </c>
      <c r="E14" s="75">
        <f>VLOOKUP(A14,Materiales3[],5,FALSE)*D14</f>
        <v>0.192</v>
      </c>
      <c r="F14" s="77">
        <f>VLOOKUP(A14,Materiales3[],6,FALSE)</f>
        <v>0</v>
      </c>
      <c r="G14" s="77">
        <f t="shared" si="0"/>
        <v>0</v>
      </c>
    </row>
    <row r="15" spans="1:7" ht="14.5">
      <c r="A15" s="135">
        <v>141</v>
      </c>
      <c r="B15" s="104" t="str">
        <f>VLOOKUP(A15,Materiales3[],3,FALSE)</f>
        <v>Tornillo autoperforante de cabeza estrella 1/4" x 1/4"</v>
      </c>
      <c r="C15" s="75" t="str">
        <f>VLOOKUP(A15,Materiales3[],4,FALSE)</f>
        <v>UN</v>
      </c>
      <c r="D15" s="75">
        <v>18</v>
      </c>
      <c r="E15" s="75">
        <f>VLOOKUP(A15,Materiales3[],5,FALSE)*D15</f>
        <v>0.09</v>
      </c>
      <c r="F15" s="77">
        <f>VLOOKUP(A15,Materiales3[],6,FALSE)</f>
        <v>0</v>
      </c>
      <c r="G15" s="77">
        <f t="shared" si="0"/>
        <v>0</v>
      </c>
    </row>
    <row r="16" spans="1:7" ht="14.5">
      <c r="A16" s="135">
        <v>10</v>
      </c>
      <c r="B16" s="104" t="str">
        <f>VLOOKUP(A16,Materiales3[],3,FALSE)</f>
        <v>Riel DIN 35 mm x 7.5 mm</v>
      </c>
      <c r="C16" s="75" t="str">
        <f>VLOOKUP(A16,Materiales3[],4,FALSE)</f>
        <v>ML</v>
      </c>
      <c r="D16" s="75">
        <v>1</v>
      </c>
      <c r="E16" s="75">
        <f>VLOOKUP(A16,Materiales3[],5,FALSE)*D16</f>
        <v>0.3</v>
      </c>
      <c r="F16" s="77">
        <f>VLOOKUP(A16,Materiales3[],6,FALSE)</f>
        <v>0</v>
      </c>
      <c r="G16" s="77">
        <f t="shared" si="0"/>
        <v>0</v>
      </c>
    </row>
    <row r="17" spans="1:7" ht="14.5">
      <c r="A17" s="135">
        <v>13</v>
      </c>
      <c r="B17" s="104" t="str">
        <f>VLOOKUP(A17,Materiales3[],3,FALSE)</f>
        <v>DPS Tipo 2 500 Uc Up 2,5 kV 18-40 kA</v>
      </c>
      <c r="C17" s="75" t="str">
        <f>VLOOKUP(A17,Materiales3[],4,FALSE)</f>
        <v>UN</v>
      </c>
      <c r="D17" s="75">
        <v>1</v>
      </c>
      <c r="E17" s="75">
        <f>VLOOKUP(A17,Materiales3[],5,FALSE)*D17</f>
        <v>0.24</v>
      </c>
      <c r="F17" s="77">
        <f>VLOOKUP(A17,Materiales3[],6,FALSE)</f>
        <v>0</v>
      </c>
      <c r="G17" s="77">
        <f t="shared" si="0"/>
        <v>0</v>
      </c>
    </row>
    <row r="18" spans="1:7" ht="14.5">
      <c r="A18" s="135">
        <v>398</v>
      </c>
      <c r="B18" s="104" t="str">
        <f>VLOOKUP(A18,Materiales3[],3,FALSE)</f>
        <v xml:space="preserve">Interruptor termomagnético 30A 2P 500 VDC 6 Ka </v>
      </c>
      <c r="C18" s="75" t="str">
        <f>VLOOKUP(A18,Materiales3[],4,FALSE)</f>
        <v>UN</v>
      </c>
      <c r="D18" s="75">
        <v>1</v>
      </c>
      <c r="E18" s="75">
        <f>VLOOKUP(A18,Materiales3[],5,FALSE)*D18</f>
        <v>0.24</v>
      </c>
      <c r="F18" s="77">
        <f>VLOOKUP(A18,Materiales3[],6,FALSE)</f>
        <v>0</v>
      </c>
      <c r="G18" s="77">
        <f t="shared" si="0"/>
        <v>0</v>
      </c>
    </row>
    <row r="19" spans="1:7" ht="14.5">
      <c r="A19" s="135">
        <v>11</v>
      </c>
      <c r="B19" s="104" t="str">
        <f>VLOOKUP(A19,Materiales3[],3,FALSE)</f>
        <v xml:space="preserve">Interruptor termomagnético 50A 2P 500 VDC 6 Ka </v>
      </c>
      <c r="C19" s="75" t="str">
        <f>VLOOKUP(A19,Materiales3[],4,FALSE)</f>
        <v>UN</v>
      </c>
      <c r="D19" s="75">
        <v>3</v>
      </c>
      <c r="E19" s="75">
        <f>VLOOKUP(A19,Materiales3[],5,FALSE)*D19</f>
        <v>0.72</v>
      </c>
      <c r="F19" s="77">
        <f>VLOOKUP(A19,Materiales3[],6,FALSE)</f>
        <v>0</v>
      </c>
      <c r="G19" s="77">
        <f t="shared" si="0"/>
        <v>0</v>
      </c>
    </row>
    <row r="20" spans="1:7" ht="14.5">
      <c r="A20" s="135">
        <v>235</v>
      </c>
      <c r="B20" s="104" t="str">
        <f>VLOOKUP(A20,Materiales3[],3,FALSE)</f>
        <v xml:space="preserve">Interruptor termomagnético 25A 2P 120/240V VAC 10 Ka </v>
      </c>
      <c r="C20" s="75" t="str">
        <f>VLOOKUP(A20,Materiales3[],4,FALSE)</f>
        <v>UN</v>
      </c>
      <c r="D20" s="75">
        <v>1</v>
      </c>
      <c r="E20" s="75">
        <f>VLOOKUP(A20,Materiales3[],5,FALSE)*D20</f>
        <v>0.2</v>
      </c>
      <c r="F20" s="77">
        <f>VLOOKUP(A20,Materiales3[],6,FALSE)</f>
        <v>0</v>
      </c>
      <c r="G20" s="77">
        <f t="shared" ref="G20" si="1">D20*F20</f>
        <v>0</v>
      </c>
    </row>
    <row r="21" spans="1:7" ht="14.5">
      <c r="A21" s="135">
        <v>132</v>
      </c>
      <c r="B21" s="104" t="str">
        <f>VLOOKUP(A21,Materiales3[],3,FALSE)</f>
        <v>Cable Cu THHN 10 AWG</v>
      </c>
      <c r="C21" s="75" t="str">
        <f>VLOOKUP(A21,Materiales3[],4,FALSE)</f>
        <v>ML</v>
      </c>
      <c r="D21" s="75">
        <f>2*0.6</f>
        <v>1.2</v>
      </c>
      <c r="E21" s="75">
        <f>VLOOKUP(A21,Materiales3[],5,FALSE)*D21</f>
        <v>7.0800000000000002E-2</v>
      </c>
      <c r="F21" s="77">
        <f>VLOOKUP(A21,Materiales3[],6,FALSE)</f>
        <v>0</v>
      </c>
      <c r="G21" s="77">
        <f t="shared" si="0"/>
        <v>0</v>
      </c>
    </row>
    <row r="22" spans="1:7" ht="14.5">
      <c r="A22" s="135">
        <v>241</v>
      </c>
      <c r="B22" s="104" t="str">
        <f>VLOOKUP(A22,Materiales3[],3,FALSE)</f>
        <v>Cable Cu THHN 6 AWG</v>
      </c>
      <c r="C22" s="75" t="str">
        <f>VLOOKUP(A22,Materiales3[],4,FALSE)</f>
        <v>ML</v>
      </c>
      <c r="D22" s="75">
        <f>2*0.6+4*0.6+2</f>
        <v>5.6</v>
      </c>
      <c r="E22" s="75">
        <f>VLOOKUP(A22,Materiales3[],5,FALSE)*D22</f>
        <v>0.94079999999999997</v>
      </c>
      <c r="F22" s="77">
        <f>VLOOKUP(A22,Materiales3[],6,FALSE)</f>
        <v>0</v>
      </c>
      <c r="G22" s="77">
        <f t="shared" si="0"/>
        <v>0</v>
      </c>
    </row>
    <row r="23" spans="1:7" ht="14.5">
      <c r="A23" s="135">
        <v>246</v>
      </c>
      <c r="B23" s="104" t="str">
        <f>VLOOKUP(A23,Materiales3[],3,FALSE)</f>
        <v>Cable Cu THHN 8 AWG</v>
      </c>
      <c r="C23" s="75" t="str">
        <f>VLOOKUP(A23,Materiales3[],4,FALSE)</f>
        <v>ML</v>
      </c>
      <c r="D23" s="75">
        <f>3*2.5</f>
        <v>7.5</v>
      </c>
      <c r="E23" s="75">
        <f>VLOOKUP(A23,Materiales3[],5,FALSE)*D23</f>
        <v>0.72</v>
      </c>
      <c r="F23" s="77">
        <f>VLOOKUP(A23,Materiales3[],6,FALSE)</f>
        <v>0</v>
      </c>
      <c r="G23" s="77">
        <f t="shared" ref="G23" si="2">D23*F23</f>
        <v>0</v>
      </c>
    </row>
    <row r="24" spans="1:7" ht="14.5">
      <c r="A24" s="7">
        <v>246</v>
      </c>
      <c r="B24" s="104" t="str">
        <f>VLOOKUP(A24,Materiales3[],3,FALSE)&amp;" Verde"</f>
        <v>Cable Cu THHN 8 AWG Verde</v>
      </c>
      <c r="C24" s="75" t="str">
        <f>VLOOKUP(A24,Materiales3[],4,FALSE)</f>
        <v>ML</v>
      </c>
      <c r="D24" s="75">
        <f>1*0.5*1.05</f>
        <v>0.52500000000000002</v>
      </c>
      <c r="E24" s="75">
        <f>VLOOKUP(A24,Materiales3[],5,FALSE)*D24</f>
        <v>5.04E-2</v>
      </c>
      <c r="F24" s="77">
        <f>VLOOKUP(A24,Materiales3[],6,FALSE)</f>
        <v>0</v>
      </c>
      <c r="G24" s="77">
        <f t="shared" si="0"/>
        <v>0</v>
      </c>
    </row>
    <row r="25" spans="1:7" ht="13">
      <c r="D25" s="82"/>
      <c r="E25" s="82"/>
      <c r="F25" s="83" t="s">
        <v>559</v>
      </c>
      <c r="G25" s="84">
        <f>SUM(G8:G24)</f>
        <v>0</v>
      </c>
    </row>
    <row r="26" spans="1:7">
      <c r="G26" s="108"/>
    </row>
    <row r="27" spans="1:7" ht="13">
      <c r="B27" s="85" t="s">
        <v>560</v>
      </c>
      <c r="G27" s="109"/>
    </row>
    <row r="28" spans="1:7" ht="13">
      <c r="A28" s="134" t="s">
        <v>204</v>
      </c>
      <c r="B28" s="72" t="s">
        <v>97</v>
      </c>
      <c r="C28" s="73" t="s">
        <v>2</v>
      </c>
      <c r="D28" s="73" t="s">
        <v>561</v>
      </c>
      <c r="E28" s="73"/>
      <c r="F28" s="73" t="s">
        <v>99</v>
      </c>
      <c r="G28" s="73" t="s">
        <v>366</v>
      </c>
    </row>
    <row r="29" spans="1:7" ht="14.5">
      <c r="A29" s="135">
        <v>1</v>
      </c>
      <c r="B29" s="78" t="str">
        <f>VLOOKUP(A29,Equipoyherramienta[],2,FALSE)</f>
        <v>Herramienta menor</v>
      </c>
      <c r="C29" s="79" t="str">
        <f>VLOOKUP(A29,Equipoyherramienta[],3,FALSE)</f>
        <v>UN</v>
      </c>
      <c r="D29" s="86">
        <f>VLOOKUP(A29,Equipoyherramienta[],4,FALSE)</f>
        <v>0</v>
      </c>
      <c r="E29" s="86"/>
      <c r="F29" s="106">
        <f>+RENDIMIENTOS!C17</f>
        <v>0</v>
      </c>
      <c r="G29" s="86" t="e">
        <f>ROUND(D29/F29,0)</f>
        <v>#DIV/0!</v>
      </c>
    </row>
    <row r="30" spans="1:7">
      <c r="B30" s="78"/>
      <c r="C30" s="79"/>
      <c r="D30" s="81"/>
      <c r="E30" s="81"/>
      <c r="F30" s="87"/>
      <c r="G30" s="88"/>
    </row>
    <row r="31" spans="1:7">
      <c r="B31" s="78"/>
      <c r="C31" s="79"/>
      <c r="D31" s="81"/>
      <c r="E31" s="81"/>
      <c r="F31" s="87"/>
      <c r="G31" s="88"/>
    </row>
    <row r="32" spans="1:7" ht="13">
      <c r="D32" s="82"/>
      <c r="E32" s="82"/>
      <c r="F32" s="83" t="s">
        <v>559</v>
      </c>
      <c r="G32" s="84" t="e">
        <f>SUM(G29:G31)</f>
        <v>#DIV/0!</v>
      </c>
    </row>
    <row r="33" spans="1:7" ht="13">
      <c r="D33" s="82"/>
      <c r="E33" s="82"/>
      <c r="F33" s="82"/>
      <c r="G33" s="89"/>
    </row>
    <row r="34" spans="1:7" ht="13">
      <c r="B34" s="71" t="s">
        <v>562</v>
      </c>
      <c r="G34" s="90"/>
    </row>
    <row r="35" spans="1:7" ht="13">
      <c r="A35" s="134" t="s">
        <v>204</v>
      </c>
      <c r="B35" s="72" t="s">
        <v>97</v>
      </c>
      <c r="C35" s="73" t="s">
        <v>364</v>
      </c>
      <c r="D35" s="73" t="s">
        <v>483</v>
      </c>
      <c r="E35" s="73"/>
      <c r="F35" s="73" t="s">
        <v>570</v>
      </c>
      <c r="G35" s="91" t="s">
        <v>366</v>
      </c>
    </row>
    <row r="36" spans="1:7" ht="50">
      <c r="A36" s="135">
        <v>6</v>
      </c>
      <c r="B36" s="92" t="str">
        <f>VLOOKUP(A36,Transp.[],2,FALSE)</f>
        <v>Carga terrestre desde Bogota hasta Usuario, incluye cargues, descargues, cruces de río, transporte semoviente, transporte fluvia, transporte en vehículo de carga pesada y liviano y cualquier otro tranposte.</v>
      </c>
      <c r="C36" s="75" t="s">
        <v>571</v>
      </c>
      <c r="D36" s="76">
        <f>+SUM(E8:E24)</f>
        <v>25.973999999999993</v>
      </c>
      <c r="E36" s="76"/>
      <c r="F36" s="94">
        <f>VLOOKUP(A36,Transp.[],6,FALSE)</f>
        <v>0</v>
      </c>
      <c r="G36" s="94">
        <f>D36*F36</f>
        <v>0</v>
      </c>
    </row>
    <row r="37" spans="1:7" ht="13.15" customHeight="1">
      <c r="A37" s="135"/>
      <c r="B37" s="92"/>
      <c r="C37" s="75"/>
      <c r="D37" s="76"/>
      <c r="E37" s="76"/>
      <c r="F37" s="94"/>
      <c r="G37" s="94"/>
    </row>
    <row r="38" spans="1:7" ht="13.15" customHeight="1">
      <c r="A38" s="135"/>
      <c r="B38" s="92"/>
      <c r="C38" s="75"/>
      <c r="D38" s="76"/>
      <c r="E38" s="76"/>
      <c r="F38" s="94"/>
      <c r="G38" s="94"/>
    </row>
    <row r="39" spans="1:7" ht="13">
      <c r="D39" s="82"/>
      <c r="E39" s="82"/>
      <c r="F39" s="96" t="s">
        <v>559</v>
      </c>
      <c r="G39" s="84">
        <f>SUM(G36:G38)</f>
        <v>0</v>
      </c>
    </row>
    <row r="41" spans="1:7" ht="13">
      <c r="B41" s="71" t="s">
        <v>566</v>
      </c>
      <c r="D41" s="97"/>
      <c r="E41" s="97"/>
      <c r="F41" s="98"/>
      <c r="G41" s="90"/>
    </row>
    <row r="42" spans="1:7" s="82" customFormat="1" ht="13">
      <c r="A42" s="134" t="s">
        <v>204</v>
      </c>
      <c r="B42" s="73" t="s">
        <v>97</v>
      </c>
      <c r="C42" s="73" t="s">
        <v>567</v>
      </c>
      <c r="D42" s="73" t="s">
        <v>568</v>
      </c>
      <c r="E42" s="73"/>
      <c r="F42" s="73" t="s">
        <v>99</v>
      </c>
      <c r="G42" s="91" t="s">
        <v>366</v>
      </c>
    </row>
    <row r="43" spans="1:7" ht="14.5">
      <c r="A43" s="135">
        <v>1</v>
      </c>
      <c r="B43" s="99" t="str">
        <f>VLOOKUP(A43,ManoObra[],2,FALSE)</f>
        <v>Electricista</v>
      </c>
      <c r="C43" s="100">
        <f>VLOOKUP(A43,ManoObra[],8,FALSE)</f>
        <v>0</v>
      </c>
      <c r="D43" s="87">
        <f>+FP!E27</f>
        <v>0</v>
      </c>
      <c r="E43" s="87"/>
      <c r="F43" s="106">
        <f>F29</f>
        <v>0</v>
      </c>
      <c r="G43" s="86" t="e">
        <f>ROUND(C43*D43/F43,0)</f>
        <v>#DIV/0!</v>
      </c>
    </row>
    <row r="44" spans="1:7" ht="14.5">
      <c r="A44" s="135">
        <v>2</v>
      </c>
      <c r="B44" s="99" t="str">
        <f>VLOOKUP(A44,ManoObra[],2,FALSE)</f>
        <v>Ayudante</v>
      </c>
      <c r="C44" s="100">
        <f>VLOOKUP(A44,ManoObra[],8,FALSE)</f>
        <v>0</v>
      </c>
      <c r="D44" s="87">
        <f>+FP!E27</f>
        <v>0</v>
      </c>
      <c r="E44" s="87"/>
      <c r="F44" s="106">
        <f>F29</f>
        <v>0</v>
      </c>
      <c r="G44" s="86" t="e">
        <f>ROUND(C44*D44/F44,0)</f>
        <v>#DIV/0!</v>
      </c>
    </row>
    <row r="45" spans="1:7" ht="14.5">
      <c r="A45" s="135"/>
      <c r="B45" s="105"/>
      <c r="C45" s="100"/>
      <c r="D45" s="87"/>
      <c r="E45" s="87"/>
      <c r="F45" s="80"/>
      <c r="G45" s="86"/>
    </row>
    <row r="46" spans="1:7" ht="13">
      <c r="D46" s="82"/>
      <c r="E46" s="82"/>
      <c r="F46" s="96" t="s">
        <v>559</v>
      </c>
      <c r="G46" s="110" t="e">
        <f>SUM(G43:G45)</f>
        <v>#DIV/0!</v>
      </c>
    </row>
    <row r="47" spans="1:7" ht="13">
      <c r="D47" s="82"/>
      <c r="E47" s="82"/>
      <c r="G47" s="90"/>
    </row>
    <row r="48" spans="1:7" ht="12.75" customHeight="1">
      <c r="B48" s="82"/>
      <c r="D48" s="503" t="s">
        <v>569</v>
      </c>
      <c r="E48" s="505"/>
      <c r="F48" s="504"/>
      <c r="G48" s="101" t="e">
        <f>G25+G32+G39+G46</f>
        <v>#DIV/0!</v>
      </c>
    </row>
  </sheetData>
  <mergeCells count="3">
    <mergeCell ref="B1:G1"/>
    <mergeCell ref="B4:E4"/>
    <mergeCell ref="D48:F48"/>
  </mergeCells>
  <printOptions horizontalCentered="1"/>
  <pageMargins left="0.70866141732283472" right="0.70866141732283472" top="1.5748031496062993" bottom="0.98425196850393704" header="0.98425196850393704" footer="0.51181102362204722"/>
  <pageSetup scale="66" orientation="portrait" r:id="rId1"/>
  <headerFooter alignWithMargins="0">
    <oddHeader xml:space="preserve">&amp;C&amp;"Arial,Negrita"&amp;12ANÁLISIS DE PRECIOS UNITARIOS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880E6-4542-471F-9A08-43B1CBDBA4A8}">
  <sheetPr>
    <tabColor theme="4" tint="0.59999389629810485"/>
    <pageSetUpPr fitToPage="1"/>
  </sheetPr>
  <dimension ref="A1:G50"/>
  <sheetViews>
    <sheetView showGridLines="0" view="pageBreakPreview" zoomScale="80" zoomScaleNormal="120" zoomScaleSheetLayoutView="80" workbookViewId="0">
      <selection activeCell="I24" sqref="I24"/>
    </sheetView>
  </sheetViews>
  <sheetFormatPr baseColWidth="10" defaultColWidth="11.453125" defaultRowHeight="12.5"/>
  <cols>
    <col min="1" max="1" width="11.453125" style="64"/>
    <col min="2" max="2" width="48.26953125" style="64" customWidth="1"/>
    <col min="3" max="3" width="11.453125" style="64"/>
    <col min="4" max="5" width="11.7265625" style="64" customWidth="1"/>
    <col min="6" max="6" width="15" style="64" customWidth="1"/>
    <col min="7" max="7" width="15.26953125" style="64" customWidth="1"/>
    <col min="8" max="8" width="6.26953125" style="64" customWidth="1"/>
    <col min="9" max="9" width="11.453125" style="64"/>
    <col min="10" max="10" width="11.7265625" style="64" bestFit="1" customWidth="1"/>
    <col min="11" max="16384" width="11.453125" style="64"/>
  </cols>
  <sheetData>
    <row r="1" spans="1:7" ht="18.75" customHeight="1">
      <c r="B1" s="499" t="str">
        <f>+'PRESUPUESTO GENERAL SISFV'!A1</f>
        <v>IMPLEMENTACIÓN DE SOLUCIONES ENERGÉTICAS SOSTENIBLES CON FUENTES NO CONVENCIONALES PARA LAS  COMUNIDADES RURALES DEL MUNICIPIO CARTAGENA DEL CHAIRÁ, DEPARTAMENTO DEL CAQUETÁ</v>
      </c>
      <c r="C1" s="499"/>
      <c r="D1" s="499"/>
      <c r="E1" s="499"/>
      <c r="F1" s="499"/>
      <c r="G1" s="499"/>
    </row>
    <row r="3" spans="1:7" ht="12.75" customHeight="1">
      <c r="B3" s="65" t="s">
        <v>556</v>
      </c>
      <c r="C3" s="66" t="str">
        <f>+'PRESUPUESTO GENERAL SISFV'!A10</f>
        <v>1.6</v>
      </c>
      <c r="D3" s="66"/>
      <c r="E3" s="66"/>
      <c r="F3" s="66"/>
      <c r="G3" s="67" t="s">
        <v>557</v>
      </c>
    </row>
    <row r="4" spans="1:7" ht="175.15" customHeight="1">
      <c r="B4" s="500" t="str">
        <f>+'PRESUPUESTO GENERAL SISFV'!B10</f>
        <v xml:space="preserve">Suministro e instalación de gabinete Instalacion Tipo II autosoportado en lámina galvanizada de 598 mm de ancho x 840 mm de alto x 460 mm de fondo en lámina CR calibre 18, con pintura electrostática gris rall 70-32,  accesorios, conexionado, cableado, canalización, fijación y protecciones eléctricas incluye DPS de BT, para el alojamiento de equipos y accesorios, tipo interior.
Todas las puertas deberán abrir únicamente en sentido lateral mínimo 120° respecto a la sección horizontal superior del armario, deben poseer una agarradera que facilite su accionamiento y las bisagras deben ser galvanizadas, cromadas, niqueladas o en acero inoxidable, bronce o aluminio suficientemente fuertes para asegurar rígidamente la puerta de la estructura e instaladas sin que pierdan el recubrimiento protector IP 33.
El encerramiento metálico deberá estar debidamente marcado y cumplir con los requerimientos mínimos de seguridad definidos por el RETIE numeral 20.23. </v>
      </c>
      <c r="C4" s="506"/>
      <c r="D4" s="506"/>
      <c r="E4" s="507"/>
      <c r="G4" s="68" t="str">
        <f>+'PRESUPUESTO GENERAL SISFV'!C10</f>
        <v>UN</v>
      </c>
    </row>
    <row r="5" spans="1:7" ht="13">
      <c r="B5" s="69"/>
      <c r="G5" s="70"/>
    </row>
    <row r="6" spans="1:7" ht="13">
      <c r="B6" s="71" t="s">
        <v>558</v>
      </c>
    </row>
    <row r="7" spans="1:7" ht="13">
      <c r="A7" s="134" t="s">
        <v>204</v>
      </c>
      <c r="B7" s="72" t="s">
        <v>97</v>
      </c>
      <c r="C7" s="73" t="s">
        <v>364</v>
      </c>
      <c r="D7" s="73" t="s">
        <v>126</v>
      </c>
      <c r="E7" s="73" t="s">
        <v>483</v>
      </c>
      <c r="F7" s="73" t="s">
        <v>365</v>
      </c>
      <c r="G7" s="73" t="s">
        <v>366</v>
      </c>
    </row>
    <row r="8" spans="1:7" ht="14.5">
      <c r="A8" s="135">
        <v>135</v>
      </c>
      <c r="B8" s="104" t="str">
        <f>VLOOKUP(A8,Materiales3[],3,FALSE)</f>
        <v>Barra bornera tierra con soporte plástico riel din de 10 cm</v>
      </c>
      <c r="C8" s="75" t="str">
        <f>VLOOKUP(A8,Materiales3[],4,FALSE)</f>
        <v>UN</v>
      </c>
      <c r="D8" s="75">
        <v>2</v>
      </c>
      <c r="E8" s="75">
        <f>VLOOKUP(A8,Materiales3[],5,FALSE)*D8</f>
        <v>1</v>
      </c>
      <c r="F8" s="77">
        <f>VLOOKUP(A8,Materiales3[],6,FALSE)</f>
        <v>0</v>
      </c>
      <c r="G8" s="77">
        <f>D8*F8</f>
        <v>0</v>
      </c>
    </row>
    <row r="9" spans="1:7" ht="14.5">
      <c r="A9" s="135">
        <v>136</v>
      </c>
      <c r="B9" s="104" t="str">
        <f>VLOOKUP(A9,Materiales3[],3,FALSE)</f>
        <v>Barra de cobre 12x2x100 mm (incluye aisladores)</v>
      </c>
      <c r="C9" s="75" t="str">
        <f>VLOOKUP(A9,Materiales3[],4,FALSE)</f>
        <v>UN</v>
      </c>
      <c r="D9" s="75">
        <v>3</v>
      </c>
      <c r="E9" s="75">
        <f>VLOOKUP(A9,Materiales3[],5,FALSE)*D9</f>
        <v>3</v>
      </c>
      <c r="F9" s="77">
        <f>VLOOKUP(A9,Materiales3[],6,FALSE)</f>
        <v>0</v>
      </c>
      <c r="G9" s="77">
        <f t="shared" ref="G9:G26" si="0">D9*F9</f>
        <v>0</v>
      </c>
    </row>
    <row r="10" spans="1:7" ht="14.5">
      <c r="A10" s="135">
        <v>137</v>
      </c>
      <c r="B10" s="104" t="str">
        <f>VLOOKUP(A10,Materiales3[],3,FALSE)</f>
        <v xml:space="preserve">Canaleta ranurada dexon 25 x 40 mm </v>
      </c>
      <c r="C10" s="75" t="str">
        <f>VLOOKUP(A10,Materiales3[],4,FALSE)</f>
        <v>ML</v>
      </c>
      <c r="D10" s="75">
        <v>2</v>
      </c>
      <c r="E10" s="75">
        <f>VLOOKUP(A10,Materiales3[],5,FALSE)*D10</f>
        <v>0.2</v>
      </c>
      <c r="F10" s="77">
        <f>VLOOKUP(A10,Materiales3[],6,FALSE)</f>
        <v>0</v>
      </c>
      <c r="G10" s="77">
        <f t="shared" si="0"/>
        <v>0</v>
      </c>
    </row>
    <row r="11" spans="1:7" ht="14.5">
      <c r="A11" s="135">
        <v>138</v>
      </c>
      <c r="B11" s="104" t="str">
        <f>VLOOKUP(A11,Materiales3[],3,FALSE)</f>
        <v>Cinta de amarre dexon 10 cm color blanco</v>
      </c>
      <c r="C11" s="75" t="str">
        <f>VLOOKUP(A11,Materiales3[],4,FALSE)</f>
        <v>UN</v>
      </c>
      <c r="D11" s="75">
        <v>15</v>
      </c>
      <c r="E11" s="75">
        <f>VLOOKUP(A11,Materiales3[],5,FALSE)*D11</f>
        <v>3</v>
      </c>
      <c r="F11" s="77">
        <f>VLOOKUP(A11,Materiales3[],6,FALSE)</f>
        <v>0</v>
      </c>
      <c r="G11" s="77">
        <f t="shared" si="0"/>
        <v>0</v>
      </c>
    </row>
    <row r="12" spans="1:7" ht="75.650000000000006" customHeight="1">
      <c r="A12" s="135">
        <v>139</v>
      </c>
      <c r="B12" s="104" t="str">
        <f>VLOOKUP(A12,Materiales3[],3,FALSE)</f>
        <v>Gabinete metálico con puerta y chapa para equipos y conexiones DC/AC de 598 mm de ancho, 840 mm de alto, 460 cm de fondo (incluye doblefondo, angeos, diseño y fabricación a la medida de los componentes), con soporte interior para batería 48V/100Ah)</v>
      </c>
      <c r="C12" s="75" t="str">
        <f>VLOOKUP(A12,Materiales3[],4,FALSE)</f>
        <v>UN</v>
      </c>
      <c r="D12" s="75">
        <v>1</v>
      </c>
      <c r="E12" s="75">
        <f>VLOOKUP(A12,Materiales3[],5,FALSE)*D12</f>
        <v>15</v>
      </c>
      <c r="F12" s="77">
        <f>VLOOKUP(A12,Materiales3[],6,FALSE)</f>
        <v>0</v>
      </c>
      <c r="G12" s="77">
        <f t="shared" si="0"/>
        <v>0</v>
      </c>
    </row>
    <row r="13" spans="1:7" ht="14.5">
      <c r="A13" s="135">
        <v>140</v>
      </c>
      <c r="B13" s="104" t="str">
        <f>VLOOKUP(A13,Materiales3[],3,FALSE)</f>
        <v>Marcador tipo anillo ar2 (+, -, L, N,T) x 20 Piezas</v>
      </c>
      <c r="C13" s="75" t="str">
        <f>VLOOKUP(A13,Materiales3[],4,FALSE)</f>
        <v>JG</v>
      </c>
      <c r="D13" s="75">
        <v>1</v>
      </c>
      <c r="E13" s="75">
        <f>VLOOKUP(A13,Materiales3[],5,FALSE)*D13</f>
        <v>0.01</v>
      </c>
      <c r="F13" s="77">
        <f>VLOOKUP(A13,Materiales3[],6,FALSE)</f>
        <v>0</v>
      </c>
      <c r="G13" s="77">
        <f t="shared" si="0"/>
        <v>0</v>
      </c>
    </row>
    <row r="14" spans="1:7" ht="14.5">
      <c r="A14" s="135">
        <v>24</v>
      </c>
      <c r="B14" s="104" t="str">
        <f>VLOOKUP(A14,Materiales3[],3,FALSE)</f>
        <v>Borna para ponchar varios calibres y terminales</v>
      </c>
      <c r="C14" s="75" t="str">
        <f>VLOOKUP(A14,Materiales3[],4,FALSE)</f>
        <v>UN</v>
      </c>
      <c r="D14" s="75">
        <v>24</v>
      </c>
      <c r="E14" s="75">
        <f>VLOOKUP(A14,Materiales3[],5,FALSE)*D14</f>
        <v>0.192</v>
      </c>
      <c r="F14" s="77">
        <f>VLOOKUP(A14,Materiales3[],6,FALSE)</f>
        <v>0</v>
      </c>
      <c r="G14" s="77">
        <f t="shared" si="0"/>
        <v>0</v>
      </c>
    </row>
    <row r="15" spans="1:7" ht="14.5">
      <c r="A15" s="135">
        <v>141</v>
      </c>
      <c r="B15" s="104" t="str">
        <f>VLOOKUP(A15,Materiales3[],3,FALSE)</f>
        <v>Tornillo autoperforante de cabeza estrella 1/4" x 1/4"</v>
      </c>
      <c r="C15" s="75" t="str">
        <f>VLOOKUP(A15,Materiales3[],4,FALSE)</f>
        <v>UN</v>
      </c>
      <c r="D15" s="75">
        <v>18</v>
      </c>
      <c r="E15" s="75">
        <f>VLOOKUP(A15,Materiales3[],5,FALSE)*D15</f>
        <v>0.09</v>
      </c>
      <c r="F15" s="77">
        <f>VLOOKUP(A15,Materiales3[],6,FALSE)</f>
        <v>0</v>
      </c>
      <c r="G15" s="77">
        <f t="shared" si="0"/>
        <v>0</v>
      </c>
    </row>
    <row r="16" spans="1:7" ht="14.5">
      <c r="A16" s="135">
        <v>10</v>
      </c>
      <c r="B16" s="104" t="str">
        <f>VLOOKUP(A16,Materiales3[],3,FALSE)</f>
        <v>Riel DIN 35 mm x 7.5 mm</v>
      </c>
      <c r="C16" s="75" t="str">
        <f>VLOOKUP(A16,Materiales3[],4,FALSE)</f>
        <v>ML</v>
      </c>
      <c r="D16" s="75">
        <v>1</v>
      </c>
      <c r="E16" s="75">
        <f>VLOOKUP(A16,Materiales3[],5,FALSE)*D16</f>
        <v>0.3</v>
      </c>
      <c r="F16" s="77">
        <f>VLOOKUP(A16,Materiales3[],6,FALSE)</f>
        <v>0</v>
      </c>
      <c r="G16" s="77">
        <f t="shared" si="0"/>
        <v>0</v>
      </c>
    </row>
    <row r="17" spans="1:7" ht="14.5">
      <c r="A17" s="135">
        <v>13</v>
      </c>
      <c r="B17" s="104" t="str">
        <f>VLOOKUP(A17,Materiales3[],3,FALSE)</f>
        <v>DPS Tipo 2 500 Uc Up 2,5 kV 18-40 kA</v>
      </c>
      <c r="C17" s="75" t="str">
        <f>VLOOKUP(A17,Materiales3[],4,FALSE)</f>
        <v>UN</v>
      </c>
      <c r="D17" s="75">
        <v>1</v>
      </c>
      <c r="E17" s="75">
        <f>VLOOKUP(A17,Materiales3[],5,FALSE)*D17</f>
        <v>0.24</v>
      </c>
      <c r="F17" s="77">
        <f>VLOOKUP(A17,Materiales3[],6,FALSE)</f>
        <v>0</v>
      </c>
      <c r="G17" s="77">
        <f t="shared" si="0"/>
        <v>0</v>
      </c>
    </row>
    <row r="18" spans="1:7" ht="14.5">
      <c r="A18" s="135">
        <v>398</v>
      </c>
      <c r="B18" s="104" t="str">
        <f>VLOOKUP(A18,Materiales3[],3,FALSE)</f>
        <v xml:space="preserve">Interruptor termomagnético 30A 2P 500 VDC 6 Ka </v>
      </c>
      <c r="C18" s="75" t="str">
        <f>VLOOKUP(A18,Materiales3[],4,FALSE)</f>
        <v>UN</v>
      </c>
      <c r="D18" s="75">
        <v>1</v>
      </c>
      <c r="E18" s="75">
        <f>VLOOKUP(A18,Materiales3[],5,FALSE)*D18</f>
        <v>0.24</v>
      </c>
      <c r="F18" s="77">
        <f>VLOOKUP(A18,Materiales3[],6,FALSE)</f>
        <v>0</v>
      </c>
      <c r="G18" s="77">
        <f t="shared" si="0"/>
        <v>0</v>
      </c>
    </row>
    <row r="19" spans="1:7" ht="14.5">
      <c r="A19" s="135">
        <v>11</v>
      </c>
      <c r="B19" s="104" t="str">
        <f>VLOOKUP(A19,Materiales3[],3,FALSE)</f>
        <v xml:space="preserve">Interruptor termomagnético 50A 2P 500 VDC 6 Ka </v>
      </c>
      <c r="C19" s="75" t="str">
        <f>VLOOKUP(A19,Materiales3[],4,FALSE)</f>
        <v>UN</v>
      </c>
      <c r="D19" s="75">
        <v>1</v>
      </c>
      <c r="E19" s="75">
        <f>VLOOKUP(A19,Materiales3[],5,FALSE)*D19</f>
        <v>0.24</v>
      </c>
      <c r="F19" s="77">
        <f>VLOOKUP(A19,Materiales3[],6,FALSE)</f>
        <v>0</v>
      </c>
      <c r="G19" s="77">
        <f t="shared" si="0"/>
        <v>0</v>
      </c>
    </row>
    <row r="20" spans="1:7" ht="14.5">
      <c r="A20" s="135">
        <v>143</v>
      </c>
      <c r="B20" s="104" t="str">
        <f>VLOOKUP(A20,Materiales3[],3,FALSE)</f>
        <v xml:space="preserve">Interruptor termomagnético 80A 2P 500 VDC 6 Ka </v>
      </c>
      <c r="C20" s="75" t="str">
        <f>VLOOKUP(A20,Materiales3[],4,FALSE)</f>
        <v>UN</v>
      </c>
      <c r="D20" s="75">
        <v>2</v>
      </c>
      <c r="E20" s="75">
        <f>VLOOKUP(A20,Materiales3[],5,FALSE)*D20</f>
        <v>0.6</v>
      </c>
      <c r="F20" s="77">
        <f>VLOOKUP(A20,Materiales3[],6,FALSE)</f>
        <v>0</v>
      </c>
      <c r="G20" s="77">
        <f t="shared" ref="G20" si="1">D20*F20</f>
        <v>0</v>
      </c>
    </row>
    <row r="21" spans="1:7" ht="14.5">
      <c r="A21" s="135">
        <v>229</v>
      </c>
      <c r="B21" s="104" t="str">
        <f>VLOOKUP(A21,Materiales3[],3,FALSE)</f>
        <v xml:space="preserve">Interruptor termomagnético 30A 1P 120/240V VAC 6 Ka </v>
      </c>
      <c r="C21" s="75" t="str">
        <f>VLOOKUP(A21,Materiales3[],4,FALSE)</f>
        <v>UN</v>
      </c>
      <c r="D21" s="75">
        <v>1</v>
      </c>
      <c r="E21" s="75">
        <f>VLOOKUP(A21,Materiales3[],5,FALSE)*D21</f>
        <v>0.15</v>
      </c>
      <c r="F21" s="77">
        <f>VLOOKUP(A21,Materiales3[],6,FALSE)</f>
        <v>0</v>
      </c>
      <c r="G21" s="77">
        <f t="shared" si="0"/>
        <v>0</v>
      </c>
    </row>
    <row r="22" spans="1:7" ht="14.5">
      <c r="A22" s="135">
        <v>132</v>
      </c>
      <c r="B22" s="104" t="str">
        <f>VLOOKUP(A22,Materiales3[],3,FALSE)</f>
        <v>Cable Cu THHN 10 AWG</v>
      </c>
      <c r="C22" s="75" t="str">
        <f>VLOOKUP(A22,Materiales3[],4,FALSE)</f>
        <v>ML</v>
      </c>
      <c r="D22" s="75">
        <f>2*0.6*1.05</f>
        <v>1.26</v>
      </c>
      <c r="E22" s="75">
        <f>VLOOKUP(A22,Materiales3[],5,FALSE)*D22</f>
        <v>7.4340000000000003E-2</v>
      </c>
      <c r="F22" s="77">
        <f>VLOOKUP(A22,Materiales3[],6,FALSE)</f>
        <v>0</v>
      </c>
      <c r="G22" s="77">
        <f t="shared" si="0"/>
        <v>0</v>
      </c>
    </row>
    <row r="23" spans="1:7" ht="14.5">
      <c r="A23" s="135">
        <v>241</v>
      </c>
      <c r="B23" s="104" t="str">
        <f>VLOOKUP(A23,Materiales3[],3,FALSE)</f>
        <v>Cable Cu THHN 6 AWG</v>
      </c>
      <c r="C23" s="75" t="str">
        <f>VLOOKUP(A23,Materiales3[],4,FALSE)</f>
        <v>ML</v>
      </c>
      <c r="D23" s="75">
        <f>2*0.6*1.05</f>
        <v>1.26</v>
      </c>
      <c r="E23" s="75">
        <f>VLOOKUP(A23,Materiales3[],5,FALSE)*D23</f>
        <v>0.21168000000000001</v>
      </c>
      <c r="F23" s="77">
        <f>VLOOKUP(A23,Materiales3[],6,FALSE)</f>
        <v>0</v>
      </c>
      <c r="G23" s="77">
        <f t="shared" si="0"/>
        <v>0</v>
      </c>
    </row>
    <row r="24" spans="1:7" ht="14.5">
      <c r="A24" s="135">
        <v>238</v>
      </c>
      <c r="B24" s="104" t="str">
        <f>VLOOKUP(A24,Materiales3[],3,FALSE)</f>
        <v>Cable Cu THHN 2 AWG</v>
      </c>
      <c r="C24" s="75" t="str">
        <f>VLOOKUP(A24,Materiales3[],4,FALSE)</f>
        <v>ML</v>
      </c>
      <c r="D24" s="75">
        <f>4*0.6+2</f>
        <v>4.4000000000000004</v>
      </c>
      <c r="E24" s="75">
        <f>VLOOKUP(A24,Materiales3[],5,FALSE)*D24</f>
        <v>1.54</v>
      </c>
      <c r="F24" s="77">
        <f>VLOOKUP(A24,Materiales3[],6,FALSE)</f>
        <v>0</v>
      </c>
      <c r="G24" s="77">
        <f t="shared" ref="G24" si="2">D24*F24</f>
        <v>0</v>
      </c>
    </row>
    <row r="25" spans="1:7" ht="14.5">
      <c r="A25" s="135">
        <v>246</v>
      </c>
      <c r="B25" s="104" t="str">
        <f>VLOOKUP(A25,Materiales3[],3,FALSE)</f>
        <v>Cable Cu THHN 8 AWG</v>
      </c>
      <c r="C25" s="75" t="str">
        <f>VLOOKUP(A25,Materiales3[],4,FALSE)</f>
        <v>ML</v>
      </c>
      <c r="D25" s="75">
        <f>3*2.5</f>
        <v>7.5</v>
      </c>
      <c r="E25" s="75">
        <f>VLOOKUP(A25,Materiales3[],5,FALSE)*D25</f>
        <v>0.72</v>
      </c>
      <c r="F25" s="77">
        <f>VLOOKUP(A25,Materiales3[],6,FALSE)</f>
        <v>0</v>
      </c>
      <c r="G25" s="77">
        <f t="shared" si="0"/>
        <v>0</v>
      </c>
    </row>
    <row r="26" spans="1:7" ht="14.5">
      <c r="A26" s="7">
        <v>246</v>
      </c>
      <c r="B26" s="104" t="str">
        <f>VLOOKUP(A26,Materiales3[],3,FALSE)&amp;" Verde"</f>
        <v>Cable Cu THHN 8 AWG Verde</v>
      </c>
      <c r="C26" s="75" t="str">
        <f>VLOOKUP(A26,Materiales3[],4,FALSE)</f>
        <v>ML</v>
      </c>
      <c r="D26" s="75">
        <f>1*0.5*1.05</f>
        <v>0.52500000000000002</v>
      </c>
      <c r="E26" s="75">
        <f>VLOOKUP(A26,Materiales3[],5,FALSE)*D26</f>
        <v>5.04E-2</v>
      </c>
      <c r="F26" s="77">
        <f>VLOOKUP(A26,Materiales3[],6,FALSE)</f>
        <v>0</v>
      </c>
      <c r="G26" s="77">
        <f t="shared" si="0"/>
        <v>0</v>
      </c>
    </row>
    <row r="27" spans="1:7" ht="13">
      <c r="D27" s="82"/>
      <c r="E27" s="82"/>
      <c r="F27" s="83" t="s">
        <v>559</v>
      </c>
      <c r="G27" s="84">
        <f>SUM(G8:G26)</f>
        <v>0</v>
      </c>
    </row>
    <row r="28" spans="1:7">
      <c r="G28" s="108"/>
    </row>
    <row r="29" spans="1:7" ht="13">
      <c r="B29" s="85" t="s">
        <v>560</v>
      </c>
      <c r="G29" s="109"/>
    </row>
    <row r="30" spans="1:7" ht="13">
      <c r="A30" s="134" t="s">
        <v>204</v>
      </c>
      <c r="B30" s="72" t="s">
        <v>97</v>
      </c>
      <c r="C30" s="73" t="s">
        <v>2</v>
      </c>
      <c r="D30" s="73" t="s">
        <v>561</v>
      </c>
      <c r="E30" s="73"/>
      <c r="F30" s="73" t="s">
        <v>99</v>
      </c>
      <c r="G30" s="73" t="s">
        <v>366</v>
      </c>
    </row>
    <row r="31" spans="1:7" ht="14.5">
      <c r="A31" s="135">
        <v>1</v>
      </c>
      <c r="B31" s="78" t="str">
        <f>VLOOKUP(A31,Equipoyherramienta[],2,FALSE)</f>
        <v>Herramienta menor</v>
      </c>
      <c r="C31" s="79" t="str">
        <f>VLOOKUP(A31,Equipoyherramienta[],3,FALSE)</f>
        <v>UN</v>
      </c>
      <c r="D31" s="86">
        <f>VLOOKUP(A31,Equipoyherramienta[],4,FALSE)</f>
        <v>0</v>
      </c>
      <c r="E31" s="86"/>
      <c r="F31" s="106">
        <f>+RENDIMIENTOS!C17</f>
        <v>0</v>
      </c>
      <c r="G31" s="86" t="e">
        <f>ROUND(D31/F31,0)</f>
        <v>#DIV/0!</v>
      </c>
    </row>
    <row r="32" spans="1:7">
      <c r="B32" s="78"/>
      <c r="C32" s="79"/>
      <c r="D32" s="81"/>
      <c r="E32" s="81"/>
      <c r="F32" s="87"/>
      <c r="G32" s="88"/>
    </row>
    <row r="33" spans="1:7">
      <c r="B33" s="78"/>
      <c r="C33" s="79"/>
      <c r="D33" s="81"/>
      <c r="E33" s="81"/>
      <c r="F33" s="87"/>
      <c r="G33" s="88"/>
    </row>
    <row r="34" spans="1:7" ht="13">
      <c r="D34" s="82"/>
      <c r="E34" s="82"/>
      <c r="F34" s="83" t="s">
        <v>559</v>
      </c>
      <c r="G34" s="84" t="e">
        <f>SUM(G31:G33)</f>
        <v>#DIV/0!</v>
      </c>
    </row>
    <row r="35" spans="1:7" ht="13">
      <c r="D35" s="82"/>
      <c r="E35" s="82"/>
      <c r="F35" s="82"/>
      <c r="G35" s="89"/>
    </row>
    <row r="36" spans="1:7" ht="13">
      <c r="B36" s="71" t="s">
        <v>562</v>
      </c>
      <c r="G36" s="90"/>
    </row>
    <row r="37" spans="1:7" ht="13">
      <c r="A37" s="134" t="s">
        <v>204</v>
      </c>
      <c r="B37" s="72" t="s">
        <v>97</v>
      </c>
      <c r="C37" s="73" t="s">
        <v>364</v>
      </c>
      <c r="D37" s="73" t="s">
        <v>483</v>
      </c>
      <c r="E37" s="73"/>
      <c r="F37" s="73" t="s">
        <v>570</v>
      </c>
      <c r="G37" s="91" t="s">
        <v>366</v>
      </c>
    </row>
    <row r="38" spans="1:7" ht="50">
      <c r="A38" s="135">
        <v>6</v>
      </c>
      <c r="B38" s="92" t="str">
        <f>VLOOKUP(A38,Transp.[],2,FALSE)</f>
        <v>Carga terrestre desde Bogota hasta Usuario, incluye cargues, descargues, cruces de río, transporte semoviente, transporte fluvia, transporte en vehículo de carga pesada y liviano y cualquier otro tranposte.</v>
      </c>
      <c r="C38" s="75" t="s">
        <v>571</v>
      </c>
      <c r="D38" s="76">
        <f>+SUM(E8:E26)</f>
        <v>26.858419999999995</v>
      </c>
      <c r="E38" s="76"/>
      <c r="F38" s="94">
        <f>VLOOKUP(A38,Transp.[],6,FALSE)</f>
        <v>0</v>
      </c>
      <c r="G38" s="94">
        <f>D38*F38</f>
        <v>0</v>
      </c>
    </row>
    <row r="39" spans="1:7" ht="13.15" customHeight="1">
      <c r="A39" s="135"/>
      <c r="B39" s="92"/>
      <c r="C39" s="75"/>
      <c r="D39" s="76"/>
      <c r="E39" s="76"/>
      <c r="F39" s="94"/>
      <c r="G39" s="94"/>
    </row>
    <row r="40" spans="1:7" ht="13.15" customHeight="1">
      <c r="A40" s="135"/>
      <c r="B40" s="92"/>
      <c r="C40" s="75"/>
      <c r="D40" s="76"/>
      <c r="E40" s="76"/>
      <c r="F40" s="94"/>
      <c r="G40" s="94"/>
    </row>
    <row r="41" spans="1:7" ht="13">
      <c r="D41" s="82"/>
      <c r="E41" s="82"/>
      <c r="F41" s="96" t="s">
        <v>559</v>
      </c>
      <c r="G41" s="84">
        <f>SUM(G38:G40)</f>
        <v>0</v>
      </c>
    </row>
    <row r="43" spans="1:7" ht="13">
      <c r="B43" s="71" t="s">
        <v>566</v>
      </c>
      <c r="D43" s="97"/>
      <c r="E43" s="97"/>
      <c r="F43" s="98"/>
      <c r="G43" s="90"/>
    </row>
    <row r="44" spans="1:7" s="82" customFormat="1" ht="13">
      <c r="A44" s="134" t="s">
        <v>204</v>
      </c>
      <c r="B44" s="73" t="s">
        <v>97</v>
      </c>
      <c r="C44" s="73" t="s">
        <v>567</v>
      </c>
      <c r="D44" s="73" t="s">
        <v>568</v>
      </c>
      <c r="E44" s="73"/>
      <c r="F44" s="73" t="s">
        <v>99</v>
      </c>
      <c r="G44" s="91" t="s">
        <v>366</v>
      </c>
    </row>
    <row r="45" spans="1:7" ht="14.5">
      <c r="A45" s="135">
        <v>1</v>
      </c>
      <c r="B45" s="99" t="str">
        <f>VLOOKUP(A45,ManoObra[],2,FALSE)</f>
        <v>Electricista</v>
      </c>
      <c r="C45" s="100">
        <f>VLOOKUP(A45,ManoObra[],8,FALSE)</f>
        <v>0</v>
      </c>
      <c r="D45" s="87">
        <f>+FP!E27</f>
        <v>0</v>
      </c>
      <c r="E45" s="87"/>
      <c r="F45" s="106">
        <f>F31</f>
        <v>0</v>
      </c>
      <c r="G45" s="86" t="e">
        <f>ROUND(C45*D45/F45,0)</f>
        <v>#DIV/0!</v>
      </c>
    </row>
    <row r="46" spans="1:7" ht="14.5">
      <c r="A46" s="135">
        <v>2</v>
      </c>
      <c r="B46" s="99" t="str">
        <f>VLOOKUP(A46,ManoObra[],2,FALSE)</f>
        <v>Ayudante</v>
      </c>
      <c r="C46" s="100">
        <f>VLOOKUP(A46,ManoObra[],8,FALSE)</f>
        <v>0</v>
      </c>
      <c r="D46" s="87">
        <f>+FP!E27</f>
        <v>0</v>
      </c>
      <c r="E46" s="87"/>
      <c r="F46" s="106">
        <f>F31</f>
        <v>0</v>
      </c>
      <c r="G46" s="86" t="e">
        <f>ROUND(C46*D46/F46,0)</f>
        <v>#DIV/0!</v>
      </c>
    </row>
    <row r="47" spans="1:7" ht="14.5">
      <c r="A47" s="135"/>
      <c r="B47" s="105"/>
      <c r="C47" s="100"/>
      <c r="D47" s="87"/>
      <c r="E47" s="87"/>
      <c r="F47" s="80"/>
      <c r="G47" s="86"/>
    </row>
    <row r="48" spans="1:7" ht="13">
      <c r="D48" s="82"/>
      <c r="E48" s="82"/>
      <c r="F48" s="96" t="s">
        <v>559</v>
      </c>
      <c r="G48" s="110" t="e">
        <f>SUM(G45:G47)</f>
        <v>#DIV/0!</v>
      </c>
    </row>
    <row r="49" spans="2:7" ht="13">
      <c r="D49" s="82"/>
      <c r="E49" s="82"/>
      <c r="G49" s="90"/>
    </row>
    <row r="50" spans="2:7" ht="12.75" customHeight="1">
      <c r="B50" s="82"/>
      <c r="D50" s="503" t="s">
        <v>569</v>
      </c>
      <c r="E50" s="505"/>
      <c r="F50" s="504"/>
      <c r="G50" s="101" t="e">
        <f>G27+G34+G41+G48</f>
        <v>#DIV/0!</v>
      </c>
    </row>
  </sheetData>
  <mergeCells count="3">
    <mergeCell ref="B1:G1"/>
    <mergeCell ref="B4:E4"/>
    <mergeCell ref="D50:F50"/>
  </mergeCells>
  <printOptions horizontalCentered="1"/>
  <pageMargins left="0.70866141732283472" right="0.70866141732283472" top="1.5748031496062993" bottom="0.98425196850393704" header="0.98425196850393704" footer="0.51181102362204722"/>
  <pageSetup scale="60" orientation="portrait" r:id="rId1"/>
  <headerFooter alignWithMargins="0">
    <oddHeader xml:space="preserve">&amp;C&amp;"Arial,Negrita"&amp;12ANÁLISIS DE PRECIOS UNITARIOS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FB441-6951-4335-A966-844BF89F6C45}">
  <sheetPr>
    <tabColor theme="4" tint="0.59999389629810485"/>
    <pageSetUpPr fitToPage="1"/>
  </sheetPr>
  <dimension ref="A1:G34"/>
  <sheetViews>
    <sheetView showGridLines="0" view="pageBreakPreview" zoomScale="80" zoomScaleNormal="120" zoomScaleSheetLayoutView="80" workbookViewId="0">
      <selection activeCell="A4" sqref="A4:A38"/>
    </sheetView>
  </sheetViews>
  <sheetFormatPr baseColWidth="10" defaultColWidth="11.453125" defaultRowHeight="12.5"/>
  <cols>
    <col min="1" max="1" width="11.453125" style="64"/>
    <col min="2" max="2" width="48.26953125" style="64" customWidth="1"/>
    <col min="3" max="3" width="11.453125" style="64"/>
    <col min="4" max="5" width="11.7265625" style="64" customWidth="1"/>
    <col min="6" max="6" width="15" style="64" customWidth="1"/>
    <col min="7" max="7" width="15.26953125" style="64" customWidth="1"/>
    <col min="8" max="8" width="6.26953125" style="64" customWidth="1"/>
    <col min="9" max="9" width="11.453125" style="64"/>
    <col min="10" max="10" width="11.7265625" style="64" bestFit="1" customWidth="1"/>
    <col min="11" max="16384" width="11.453125" style="64"/>
  </cols>
  <sheetData>
    <row r="1" spans="1:7" ht="18.75" customHeight="1">
      <c r="B1" s="499" t="str">
        <f>+'PRESUPUESTO GENERAL SISFV'!A1</f>
        <v>IMPLEMENTACIÓN DE SOLUCIONES ENERGÉTICAS SOSTENIBLES CON FUENTES NO CONVENCIONALES PARA LAS  COMUNIDADES RURALES DEL MUNICIPIO CARTAGENA DEL CHAIRÁ, DEPARTAMENTO DEL CAQUETÁ</v>
      </c>
      <c r="C1" s="499"/>
      <c r="D1" s="499"/>
      <c r="E1" s="499"/>
      <c r="F1" s="499"/>
      <c r="G1" s="499"/>
    </row>
    <row r="3" spans="1:7" ht="12.75" customHeight="1">
      <c r="B3" s="65" t="s">
        <v>556</v>
      </c>
      <c r="C3" s="66" t="str">
        <f>+'PRESUPUESTO GENERAL SISFV'!A11</f>
        <v>1.7</v>
      </c>
      <c r="D3" s="66"/>
      <c r="E3" s="66"/>
      <c r="F3" s="66"/>
      <c r="G3" s="67" t="s">
        <v>557</v>
      </c>
    </row>
    <row r="4" spans="1:7" ht="99.65" customHeight="1">
      <c r="B4" s="500" t="str">
        <f>+'PRESUPUESTO GENERAL SISFV'!B11</f>
        <v>Suministro e instalación de regulador (controlador) de carga, 50A/48V MPPT Solar, eficiencia mínima del 96%, debe ser apto para cargar baterías tipo LiFePO4. Con todas las protecciones eléctricas necesarias en caso de sobrecarga, cortocircuito, advertencia de alto voltaje</v>
      </c>
      <c r="C4" s="506"/>
      <c r="D4" s="506"/>
      <c r="E4" s="507"/>
      <c r="G4" s="68" t="str">
        <f>+'PRESUPUESTO GENERAL SISFV'!C11</f>
        <v>UN</v>
      </c>
    </row>
    <row r="5" spans="1:7" ht="13">
      <c r="B5" s="69"/>
      <c r="G5" s="70"/>
    </row>
    <row r="6" spans="1:7" ht="13">
      <c r="B6" s="71" t="s">
        <v>558</v>
      </c>
    </row>
    <row r="7" spans="1:7" ht="13">
      <c r="A7" s="134" t="s">
        <v>204</v>
      </c>
      <c r="B7" s="72" t="s">
        <v>97</v>
      </c>
      <c r="C7" s="73" t="s">
        <v>364</v>
      </c>
      <c r="D7" s="73" t="s">
        <v>126</v>
      </c>
      <c r="E7" s="73" t="s">
        <v>483</v>
      </c>
      <c r="F7" s="73" t="s">
        <v>365</v>
      </c>
      <c r="G7" s="73" t="s">
        <v>366</v>
      </c>
    </row>
    <row r="8" spans="1:7" ht="43.15" customHeight="1">
      <c r="A8" s="135">
        <v>147</v>
      </c>
      <c r="B8" s="104" t="str">
        <f>VLOOKUP(A8,Materiales3[],3,FALSE)</f>
        <v>Controlador de carga MPPT 48 VDC capacidad 50 A</v>
      </c>
      <c r="C8" s="75" t="str">
        <f>VLOOKUP(A8,Materiales3[],4,FALSE)</f>
        <v>UN</v>
      </c>
      <c r="D8" s="76">
        <v>1</v>
      </c>
      <c r="E8" s="75">
        <f>VLOOKUP(A8,Materiales3[],5,FALSE)*D8</f>
        <v>2.5</v>
      </c>
      <c r="F8" s="77">
        <f>VLOOKUP(A8,Materiales3[],6,FALSE)</f>
        <v>0</v>
      </c>
      <c r="G8" s="77">
        <f>D8*F8</f>
        <v>0</v>
      </c>
    </row>
    <row r="9" spans="1:7" ht="14.5">
      <c r="A9" s="135">
        <v>24</v>
      </c>
      <c r="B9" s="104" t="str">
        <f>VLOOKUP(A9,Materiales3[],3,FALSE)</f>
        <v>Borna para ponchar varios calibres y terminales</v>
      </c>
      <c r="C9" s="75" t="str">
        <f>VLOOKUP(A9,Materiales3[],4,FALSE)</f>
        <v>UN</v>
      </c>
      <c r="D9" s="76">
        <v>2</v>
      </c>
      <c r="E9" s="75">
        <f>VLOOKUP(A9,Materiales3[],5,FALSE)*D9</f>
        <v>1.6E-2</v>
      </c>
      <c r="F9" s="77">
        <f>VLOOKUP(A9,Materiales3[],6,FALSE)</f>
        <v>0</v>
      </c>
      <c r="G9" s="77">
        <f t="shared" ref="G9" si="0">D9*F9</f>
        <v>0</v>
      </c>
    </row>
    <row r="10" spans="1:7" ht="14.5">
      <c r="A10" s="7"/>
      <c r="B10" s="104"/>
      <c r="C10" s="75"/>
      <c r="D10" s="76"/>
      <c r="E10" s="75"/>
      <c r="F10" s="77"/>
      <c r="G10" s="77"/>
    </row>
    <row r="11" spans="1:7" ht="13">
      <c r="D11" s="82"/>
      <c r="E11" s="82"/>
      <c r="F11" s="83" t="s">
        <v>559</v>
      </c>
      <c r="G11" s="84">
        <f>SUM(G8:G10)</f>
        <v>0</v>
      </c>
    </row>
    <row r="12" spans="1:7">
      <c r="G12" s="108"/>
    </row>
    <row r="13" spans="1:7" ht="13">
      <c r="B13" s="85" t="s">
        <v>560</v>
      </c>
      <c r="G13" s="109"/>
    </row>
    <row r="14" spans="1:7" ht="13">
      <c r="A14" s="134" t="s">
        <v>204</v>
      </c>
      <c r="B14" s="72" t="s">
        <v>97</v>
      </c>
      <c r="C14" s="73" t="s">
        <v>2</v>
      </c>
      <c r="D14" s="73" t="s">
        <v>561</v>
      </c>
      <c r="E14" s="73"/>
      <c r="F14" s="73" t="s">
        <v>99</v>
      </c>
      <c r="G14" s="73" t="s">
        <v>366</v>
      </c>
    </row>
    <row r="15" spans="1:7" ht="14.5">
      <c r="A15" s="135">
        <v>1</v>
      </c>
      <c r="B15" s="78" t="str">
        <f>VLOOKUP(A15,Equipoyherramienta[],2,FALSE)</f>
        <v>Herramienta menor</v>
      </c>
      <c r="C15" s="79" t="str">
        <f>VLOOKUP(A15,Equipoyherramienta[],3,FALSE)</f>
        <v>UN</v>
      </c>
      <c r="D15" s="86">
        <f>VLOOKUP(A15,Equipoyherramienta[],4,FALSE)</f>
        <v>0</v>
      </c>
      <c r="E15" s="86"/>
      <c r="F15" s="106">
        <f>+RENDIMIENTOS!C18</f>
        <v>0</v>
      </c>
      <c r="G15" s="86" t="e">
        <f>ROUND(D15/F15,0)</f>
        <v>#DIV/0!</v>
      </c>
    </row>
    <row r="16" spans="1:7">
      <c r="B16" s="78"/>
      <c r="C16" s="79"/>
      <c r="D16" s="81"/>
      <c r="E16" s="81"/>
      <c r="F16" s="87"/>
      <c r="G16" s="88"/>
    </row>
    <row r="17" spans="1:7">
      <c r="B17" s="78"/>
      <c r="C17" s="79"/>
      <c r="D17" s="81"/>
      <c r="E17" s="81"/>
      <c r="F17" s="87"/>
      <c r="G17" s="88"/>
    </row>
    <row r="18" spans="1:7" ht="13">
      <c r="D18" s="82"/>
      <c r="E18" s="82"/>
      <c r="F18" s="83" t="s">
        <v>559</v>
      </c>
      <c r="G18" s="84" t="e">
        <f>SUM(G15:G17)</f>
        <v>#DIV/0!</v>
      </c>
    </row>
    <row r="19" spans="1:7" ht="13">
      <c r="D19" s="82"/>
      <c r="E19" s="82"/>
      <c r="F19" s="82"/>
      <c r="G19" s="89"/>
    </row>
    <row r="20" spans="1:7" ht="13">
      <c r="B20" s="71" t="s">
        <v>562</v>
      </c>
      <c r="G20" s="90"/>
    </row>
    <row r="21" spans="1:7" ht="13">
      <c r="A21" s="134" t="s">
        <v>204</v>
      </c>
      <c r="B21" s="72" t="s">
        <v>97</v>
      </c>
      <c r="C21" s="73" t="s">
        <v>364</v>
      </c>
      <c r="D21" s="73" t="s">
        <v>483</v>
      </c>
      <c r="E21" s="73"/>
      <c r="F21" s="73" t="s">
        <v>570</v>
      </c>
      <c r="G21" s="91" t="s">
        <v>366</v>
      </c>
    </row>
    <row r="22" spans="1:7" ht="52.9" customHeight="1">
      <c r="A22" s="135">
        <v>6</v>
      </c>
      <c r="B22" s="92" t="str">
        <f>VLOOKUP(A22,Transp.[],2,FALSE)</f>
        <v>Carga terrestre desde Bogota hasta Usuario, incluye cargues, descargues, cruces de río, transporte semoviente, transporte fluvia, transporte en vehículo de carga pesada y liviano y cualquier otro tranposte.</v>
      </c>
      <c r="C22" s="75" t="s">
        <v>571</v>
      </c>
      <c r="D22" s="76">
        <f>SUM(E8:E10)</f>
        <v>2.516</v>
      </c>
      <c r="E22" s="76"/>
      <c r="F22" s="94">
        <f>VLOOKUP(A22,Transp.[],6,FALSE)</f>
        <v>0</v>
      </c>
      <c r="G22" s="94">
        <f>D22*F22</f>
        <v>0</v>
      </c>
    </row>
    <row r="23" spans="1:7" ht="13.15" customHeight="1">
      <c r="A23" s="135"/>
      <c r="B23" s="92"/>
      <c r="C23" s="75"/>
      <c r="D23" s="76"/>
      <c r="E23" s="76"/>
      <c r="F23" s="94"/>
      <c r="G23" s="94"/>
    </row>
    <row r="24" spans="1:7" ht="13.15" customHeight="1">
      <c r="A24" s="135"/>
      <c r="B24" s="92"/>
      <c r="C24" s="75"/>
      <c r="D24" s="76"/>
      <c r="E24" s="76"/>
      <c r="F24" s="94"/>
      <c r="G24" s="94"/>
    </row>
    <row r="25" spans="1:7" ht="13">
      <c r="D25" s="82"/>
      <c r="E25" s="82"/>
      <c r="F25" s="96" t="s">
        <v>559</v>
      </c>
      <c r="G25" s="84">
        <f>SUM(G22:G24)</f>
        <v>0</v>
      </c>
    </row>
    <row r="27" spans="1:7" ht="13">
      <c r="B27" s="71" t="s">
        <v>566</v>
      </c>
      <c r="D27" s="97"/>
      <c r="E27" s="97"/>
      <c r="F27" s="98"/>
      <c r="G27" s="90"/>
    </row>
    <row r="28" spans="1:7" s="82" customFormat="1" ht="13">
      <c r="A28" s="134" t="s">
        <v>204</v>
      </c>
      <c r="B28" s="73" t="s">
        <v>97</v>
      </c>
      <c r="C28" s="73" t="s">
        <v>567</v>
      </c>
      <c r="D28" s="73" t="s">
        <v>568</v>
      </c>
      <c r="E28" s="73"/>
      <c r="F28" s="73" t="s">
        <v>99</v>
      </c>
      <c r="G28" s="91" t="s">
        <v>366</v>
      </c>
    </row>
    <row r="29" spans="1:7" ht="14.5">
      <c r="A29" s="135">
        <v>1</v>
      </c>
      <c r="B29" s="99" t="str">
        <f>VLOOKUP(A29,ManoObra[],2,FALSE)</f>
        <v>Electricista</v>
      </c>
      <c r="C29" s="100">
        <f>VLOOKUP(A29,ManoObra[],8,FALSE)</f>
        <v>0</v>
      </c>
      <c r="D29" s="87">
        <f>+FP!E27</f>
        <v>0</v>
      </c>
      <c r="E29" s="87"/>
      <c r="F29" s="106">
        <f>F15</f>
        <v>0</v>
      </c>
      <c r="G29" s="86" t="e">
        <f>ROUND(C29*D29/F29,0)</f>
        <v>#DIV/0!</v>
      </c>
    </row>
    <row r="30" spans="1:7" ht="14.5">
      <c r="A30" s="135">
        <v>2</v>
      </c>
      <c r="B30" s="99" t="str">
        <f>VLOOKUP(A30,ManoObra[],2,FALSE)</f>
        <v>Ayudante</v>
      </c>
      <c r="C30" s="100">
        <f>VLOOKUP(A30,ManoObra[],8,FALSE)</f>
        <v>0</v>
      </c>
      <c r="D30" s="87">
        <f>+FP!E27</f>
        <v>0</v>
      </c>
      <c r="E30" s="87"/>
      <c r="F30" s="106">
        <f>F15</f>
        <v>0</v>
      </c>
      <c r="G30" s="86" t="e">
        <f>ROUND(C30*D30/F30,0)</f>
        <v>#DIV/0!</v>
      </c>
    </row>
    <row r="31" spans="1:7" ht="14.5">
      <c r="A31" s="135"/>
      <c r="B31" s="105"/>
      <c r="C31" s="100"/>
      <c r="D31" s="87"/>
      <c r="E31" s="87"/>
      <c r="F31" s="80"/>
      <c r="G31" s="86"/>
    </row>
    <row r="32" spans="1:7" ht="13">
      <c r="D32" s="82"/>
      <c r="E32" s="82"/>
      <c r="F32" s="96" t="s">
        <v>559</v>
      </c>
      <c r="G32" s="110" t="e">
        <f>SUM(G29:G31)</f>
        <v>#DIV/0!</v>
      </c>
    </row>
    <row r="33" spans="2:7" ht="13">
      <c r="D33" s="82"/>
      <c r="E33" s="82"/>
      <c r="G33" s="90"/>
    </row>
    <row r="34" spans="2:7" ht="12.75" customHeight="1">
      <c r="B34" s="82"/>
      <c r="D34" s="503" t="s">
        <v>569</v>
      </c>
      <c r="E34" s="505"/>
      <c r="F34" s="504"/>
      <c r="G34" s="101" t="e">
        <f>G11+G18+G25+G32</f>
        <v>#DIV/0!</v>
      </c>
    </row>
  </sheetData>
  <mergeCells count="3">
    <mergeCell ref="B1:G1"/>
    <mergeCell ref="B4:E4"/>
    <mergeCell ref="D34:F3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127FF-ACFA-4B25-8B37-77DB2F7B18F2}">
  <sheetPr>
    <tabColor theme="4" tint="0.59999389629810485"/>
    <pageSetUpPr fitToPage="1"/>
  </sheetPr>
  <dimension ref="A1:G34"/>
  <sheetViews>
    <sheetView showGridLines="0" view="pageBreakPreview" zoomScale="80" zoomScaleNormal="120" zoomScaleSheetLayoutView="80" workbookViewId="0">
      <selection activeCell="A4" sqref="A4:A34"/>
    </sheetView>
  </sheetViews>
  <sheetFormatPr baseColWidth="10" defaultColWidth="11.453125" defaultRowHeight="12.5"/>
  <cols>
    <col min="1" max="1" width="11.453125" style="64"/>
    <col min="2" max="2" width="48.26953125" style="64" customWidth="1"/>
    <col min="3" max="3" width="11.453125" style="64"/>
    <col min="4" max="5" width="11.7265625" style="64" customWidth="1"/>
    <col min="6" max="6" width="15" style="64" customWidth="1"/>
    <col min="7" max="7" width="15.26953125" style="64" customWidth="1"/>
    <col min="8" max="8" width="6.26953125" style="64" customWidth="1"/>
    <col min="9" max="9" width="11.453125" style="64"/>
    <col min="10" max="10" width="11.7265625" style="64" bestFit="1" customWidth="1"/>
    <col min="11" max="16384" width="11.453125" style="64"/>
  </cols>
  <sheetData>
    <row r="1" spans="1:7" ht="18.75" customHeight="1">
      <c r="B1" s="499" t="str">
        <f>+'PRESUPUESTO GENERAL SISFV'!A1</f>
        <v>IMPLEMENTACIÓN DE SOLUCIONES ENERGÉTICAS SOSTENIBLES CON FUENTES NO CONVENCIONALES PARA LAS  COMUNIDADES RURALES DEL MUNICIPIO CARTAGENA DEL CHAIRÁ, DEPARTAMENTO DEL CAQUETÁ</v>
      </c>
      <c r="C1" s="499"/>
      <c r="D1" s="499"/>
      <c r="E1" s="499"/>
      <c r="F1" s="499"/>
      <c r="G1" s="499"/>
    </row>
    <row r="3" spans="1:7" ht="12.75" customHeight="1">
      <c r="B3" s="65" t="s">
        <v>556</v>
      </c>
      <c r="C3" s="66" t="str">
        <f>+'PRESUPUESTO GENERAL SISFV'!A12</f>
        <v>1.8</v>
      </c>
      <c r="D3" s="66"/>
      <c r="E3" s="66"/>
      <c r="F3" s="66"/>
      <c r="G3" s="67" t="s">
        <v>557</v>
      </c>
    </row>
    <row r="4" spans="1:7" ht="99.65" customHeight="1">
      <c r="B4" s="500" t="str">
        <f>+'PRESUPUESTO GENERAL SISFV'!B12</f>
        <v xml:space="preserve">Suministro e Instalación de batería de ión - litio tipo fosfato de hierro (LiFePO4) de ciclo profundo de 120 Ah – 51.2 VDC - ≥6000 ciclos hasta el 80% DOD, con BMS integrado </v>
      </c>
      <c r="C4" s="506"/>
      <c r="D4" s="506"/>
      <c r="E4" s="507"/>
      <c r="G4" s="68" t="str">
        <f>+'PRESUPUESTO GENERAL SISFV'!C12</f>
        <v>UN</v>
      </c>
    </row>
    <row r="5" spans="1:7" ht="13">
      <c r="B5" s="69"/>
      <c r="G5" s="70"/>
    </row>
    <row r="6" spans="1:7" ht="13">
      <c r="B6" s="71" t="s">
        <v>558</v>
      </c>
    </row>
    <row r="7" spans="1:7" ht="13">
      <c r="A7" s="134" t="s">
        <v>204</v>
      </c>
      <c r="B7" s="72" t="s">
        <v>97</v>
      </c>
      <c r="C7" s="73" t="s">
        <v>364</v>
      </c>
      <c r="D7" s="73" t="s">
        <v>126</v>
      </c>
      <c r="E7" s="73" t="s">
        <v>483</v>
      </c>
      <c r="F7" s="73" t="s">
        <v>365</v>
      </c>
      <c r="G7" s="73" t="s">
        <v>366</v>
      </c>
    </row>
    <row r="8" spans="1:7" ht="43.15" customHeight="1">
      <c r="A8" s="135">
        <v>26</v>
      </c>
      <c r="B8" s="104" t="str">
        <f>VLOOKUP(A8,Materiales3[],3,FALSE)</f>
        <v>Batería de LiFePO4 6.1 kWh - 48V - 120 Ah,6000 ciclos con DOD 80%, incluido BMS</v>
      </c>
      <c r="C8" s="75" t="str">
        <f>VLOOKUP(A8,Materiales3[],4,FALSE)</f>
        <v>UN</v>
      </c>
      <c r="D8" s="76">
        <v>1</v>
      </c>
      <c r="E8" s="75">
        <f>VLOOKUP(A8,Materiales3[],5,FALSE)*D8</f>
        <v>45</v>
      </c>
      <c r="F8" s="77">
        <f>VLOOKUP(A8,Materiales3[],6,FALSE)</f>
        <v>0</v>
      </c>
      <c r="G8" s="77">
        <f>D8*F8</f>
        <v>0</v>
      </c>
    </row>
    <row r="9" spans="1:7" ht="14.5">
      <c r="A9" s="135">
        <v>29</v>
      </c>
      <c r="B9" s="104" t="str">
        <f>VLOOKUP(A9,Materiales3[],3,FALSE)</f>
        <v>Terminales para batería. Par</v>
      </c>
      <c r="C9" s="75" t="str">
        <f>VLOOKUP(A9,Materiales3[],4,FALSE)</f>
        <v>JG</v>
      </c>
      <c r="D9" s="76">
        <v>1</v>
      </c>
      <c r="E9" s="75">
        <f>VLOOKUP(A9,Materiales3[],5,FALSE)*D9</f>
        <v>0.02</v>
      </c>
      <c r="F9" s="77">
        <f>VLOOKUP(A9,Materiales3[],6,FALSE)</f>
        <v>0</v>
      </c>
      <c r="G9" s="77">
        <f t="shared" ref="G9" si="0">D9*F9</f>
        <v>0</v>
      </c>
    </row>
    <row r="10" spans="1:7" ht="14.5">
      <c r="A10" s="7">
        <v>241</v>
      </c>
      <c r="B10" s="104" t="str">
        <f>VLOOKUP(A10,Materiales3[],3,FALSE)&amp;" Verde"</f>
        <v>Cable Cu THHN 6 AWG Verde</v>
      </c>
      <c r="C10" s="75" t="str">
        <f>VLOOKUP(A10,Materiales3[],4,FALSE)</f>
        <v>ML</v>
      </c>
      <c r="D10" s="76">
        <v>1</v>
      </c>
      <c r="E10" s="75">
        <f>VLOOKUP(A10,Materiales3[],5,FALSE)*D10</f>
        <v>0.16800000000000001</v>
      </c>
      <c r="F10" s="77">
        <f>VLOOKUP(A10,Materiales3[],6,FALSE)</f>
        <v>0</v>
      </c>
      <c r="G10" s="77">
        <f t="shared" ref="G10" si="1">D10*F10</f>
        <v>0</v>
      </c>
    </row>
    <row r="11" spans="1:7" ht="13">
      <c r="D11" s="82"/>
      <c r="E11" s="82"/>
      <c r="F11" s="83" t="s">
        <v>559</v>
      </c>
      <c r="G11" s="84">
        <f>SUM(G8:G10)</f>
        <v>0</v>
      </c>
    </row>
    <row r="12" spans="1:7">
      <c r="G12" s="108"/>
    </row>
    <row r="13" spans="1:7" ht="13">
      <c r="B13" s="85" t="s">
        <v>560</v>
      </c>
      <c r="G13" s="109"/>
    </row>
    <row r="14" spans="1:7" ht="13">
      <c r="A14" s="134" t="s">
        <v>204</v>
      </c>
      <c r="B14" s="72" t="s">
        <v>97</v>
      </c>
      <c r="C14" s="73" t="s">
        <v>2</v>
      </c>
      <c r="D14" s="73" t="s">
        <v>561</v>
      </c>
      <c r="E14" s="73"/>
      <c r="F14" s="73" t="s">
        <v>99</v>
      </c>
      <c r="G14" s="73" t="s">
        <v>366</v>
      </c>
    </row>
    <row r="15" spans="1:7" ht="14.5">
      <c r="A15" s="135">
        <v>1</v>
      </c>
      <c r="B15" s="78" t="str">
        <f>VLOOKUP(A15,Equipoyherramienta[],2,FALSE)</f>
        <v>Herramienta menor</v>
      </c>
      <c r="C15" s="79" t="str">
        <f>VLOOKUP(A15,Equipoyherramienta[],3,FALSE)</f>
        <v>UN</v>
      </c>
      <c r="D15" s="86">
        <f>VLOOKUP(A15,Equipoyherramienta[],4,FALSE)</f>
        <v>0</v>
      </c>
      <c r="E15" s="86"/>
      <c r="F15" s="106">
        <f>+RENDIMIENTOS!C20</f>
        <v>0</v>
      </c>
      <c r="G15" s="86" t="e">
        <f>ROUND(D15/F15,0)</f>
        <v>#DIV/0!</v>
      </c>
    </row>
    <row r="16" spans="1:7">
      <c r="B16" s="78"/>
      <c r="C16" s="79"/>
      <c r="D16" s="81"/>
      <c r="E16" s="81"/>
      <c r="F16" s="87"/>
      <c r="G16" s="88"/>
    </row>
    <row r="17" spans="1:7">
      <c r="B17" s="78"/>
      <c r="C17" s="79"/>
      <c r="D17" s="81"/>
      <c r="E17" s="81"/>
      <c r="F17" s="87"/>
      <c r="G17" s="88"/>
    </row>
    <row r="18" spans="1:7" ht="13">
      <c r="D18" s="82"/>
      <c r="E18" s="82"/>
      <c r="F18" s="83" t="s">
        <v>559</v>
      </c>
      <c r="G18" s="84" t="e">
        <f>SUM(G15:G17)</f>
        <v>#DIV/0!</v>
      </c>
    </row>
    <row r="19" spans="1:7" ht="13">
      <c r="D19" s="82"/>
      <c r="E19" s="82"/>
      <c r="F19" s="82"/>
      <c r="G19" s="89"/>
    </row>
    <row r="20" spans="1:7" ht="13">
      <c r="B20" s="71" t="s">
        <v>562</v>
      </c>
      <c r="G20" s="90"/>
    </row>
    <row r="21" spans="1:7" ht="13">
      <c r="A21" s="134" t="s">
        <v>204</v>
      </c>
      <c r="B21" s="72" t="s">
        <v>97</v>
      </c>
      <c r="C21" s="73" t="s">
        <v>364</v>
      </c>
      <c r="D21" s="73" t="s">
        <v>483</v>
      </c>
      <c r="E21" s="73"/>
      <c r="F21" s="73" t="s">
        <v>570</v>
      </c>
      <c r="G21" s="91" t="s">
        <v>366</v>
      </c>
    </row>
    <row r="22" spans="1:7" ht="50">
      <c r="A22" s="135">
        <v>6</v>
      </c>
      <c r="B22" s="92" t="str">
        <f>VLOOKUP(A22,Transp.[],2,FALSE)</f>
        <v>Carga terrestre desde Bogota hasta Usuario, incluye cargues, descargues, cruces de río, transporte semoviente, transporte fluvia, transporte en vehículo de carga pesada y liviano y cualquier otro tranposte.</v>
      </c>
      <c r="C22" s="75" t="s">
        <v>571</v>
      </c>
      <c r="D22" s="76">
        <f>SUM(E8:E10)</f>
        <v>45.188000000000002</v>
      </c>
      <c r="E22" s="76"/>
      <c r="F22" s="94">
        <f>VLOOKUP(A22,Transp.[],6,FALSE)</f>
        <v>0</v>
      </c>
      <c r="G22" s="94">
        <f>D22*F22</f>
        <v>0</v>
      </c>
    </row>
    <row r="23" spans="1:7" ht="13.15" customHeight="1">
      <c r="A23" s="135"/>
      <c r="B23" s="92"/>
      <c r="C23" s="75"/>
      <c r="D23" s="76"/>
      <c r="E23" s="76"/>
      <c r="F23" s="94"/>
      <c r="G23" s="94"/>
    </row>
    <row r="24" spans="1:7" ht="13.15" customHeight="1">
      <c r="A24" s="135"/>
      <c r="B24" s="92"/>
      <c r="C24" s="75"/>
      <c r="D24" s="76"/>
      <c r="E24" s="76"/>
      <c r="F24" s="94"/>
      <c r="G24" s="94"/>
    </row>
    <row r="25" spans="1:7" ht="13">
      <c r="D25" s="82"/>
      <c r="E25" s="82"/>
      <c r="F25" s="96" t="s">
        <v>559</v>
      </c>
      <c r="G25" s="84">
        <f>SUM(G22:G24)</f>
        <v>0</v>
      </c>
    </row>
    <row r="27" spans="1:7" ht="13">
      <c r="B27" s="71" t="s">
        <v>566</v>
      </c>
      <c r="D27" s="97"/>
      <c r="E27" s="97"/>
      <c r="F27" s="98"/>
      <c r="G27" s="90"/>
    </row>
    <row r="28" spans="1:7" s="82" customFormat="1" ht="13">
      <c r="A28" s="134" t="s">
        <v>204</v>
      </c>
      <c r="B28" s="73" t="s">
        <v>97</v>
      </c>
      <c r="C28" s="73" t="s">
        <v>567</v>
      </c>
      <c r="D28" s="73" t="s">
        <v>568</v>
      </c>
      <c r="E28" s="73"/>
      <c r="F28" s="73" t="s">
        <v>99</v>
      </c>
      <c r="G28" s="91" t="s">
        <v>366</v>
      </c>
    </row>
    <row r="29" spans="1:7" ht="14.5">
      <c r="A29" s="135">
        <v>1</v>
      </c>
      <c r="B29" s="99" t="str">
        <f>VLOOKUP(A29,ManoObra[],2,FALSE)</f>
        <v>Electricista</v>
      </c>
      <c r="C29" s="100">
        <f>VLOOKUP(A29,ManoObra[],8,FALSE)</f>
        <v>0</v>
      </c>
      <c r="D29" s="87">
        <f>+FP!E27</f>
        <v>0</v>
      </c>
      <c r="E29" s="87"/>
      <c r="F29" s="106">
        <f>F15</f>
        <v>0</v>
      </c>
      <c r="G29" s="86" t="e">
        <f>ROUND(C29*D29/F29,0)</f>
        <v>#DIV/0!</v>
      </c>
    </row>
    <row r="30" spans="1:7" ht="14.5">
      <c r="A30" s="135">
        <v>2</v>
      </c>
      <c r="B30" s="99" t="str">
        <f>VLOOKUP(A30,ManoObra[],2,FALSE)</f>
        <v>Ayudante</v>
      </c>
      <c r="C30" s="100">
        <f>VLOOKUP(A30,ManoObra[],8,FALSE)</f>
        <v>0</v>
      </c>
      <c r="D30" s="87">
        <f>+FP!E27</f>
        <v>0</v>
      </c>
      <c r="E30" s="87"/>
      <c r="F30" s="106">
        <f>F15</f>
        <v>0</v>
      </c>
      <c r="G30" s="86" t="e">
        <f>ROUND(C30*D30/F30,0)</f>
        <v>#DIV/0!</v>
      </c>
    </row>
    <row r="31" spans="1:7" ht="14.5">
      <c r="A31" s="135"/>
      <c r="B31" s="105"/>
      <c r="C31" s="100"/>
      <c r="D31" s="87"/>
      <c r="E31" s="87"/>
      <c r="F31" s="80"/>
      <c r="G31" s="86"/>
    </row>
    <row r="32" spans="1:7" ht="13">
      <c r="D32" s="82"/>
      <c r="E32" s="82"/>
      <c r="F32" s="96" t="s">
        <v>559</v>
      </c>
      <c r="G32" s="110" t="e">
        <f>SUM(G29:G31)</f>
        <v>#DIV/0!</v>
      </c>
    </row>
    <row r="33" spans="2:7" ht="13">
      <c r="D33" s="82"/>
      <c r="E33" s="82"/>
      <c r="G33" s="90"/>
    </row>
    <row r="34" spans="2:7" ht="12.75" customHeight="1">
      <c r="B34" s="82"/>
      <c r="D34" s="503" t="s">
        <v>569</v>
      </c>
      <c r="E34" s="505"/>
      <c r="F34" s="504"/>
      <c r="G34" s="101" t="e">
        <f>G11+G18+G25+G32</f>
        <v>#DIV/0!</v>
      </c>
    </row>
  </sheetData>
  <mergeCells count="3">
    <mergeCell ref="B1:G1"/>
    <mergeCell ref="B4:E4"/>
    <mergeCell ref="D34:F3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2B30F-62AD-4A92-8D5E-99B0C1BFE148}">
  <sheetPr>
    <tabColor theme="4" tint="0.59999389629810485"/>
    <pageSetUpPr fitToPage="1"/>
  </sheetPr>
  <dimension ref="A1:G34"/>
  <sheetViews>
    <sheetView showGridLines="0" view="pageBreakPreview" zoomScale="80" zoomScaleNormal="120" zoomScaleSheetLayoutView="80" workbookViewId="0">
      <selection activeCell="A4" sqref="A4:A33"/>
    </sheetView>
  </sheetViews>
  <sheetFormatPr baseColWidth="10" defaultColWidth="11.453125" defaultRowHeight="12.5"/>
  <cols>
    <col min="1" max="1" width="11.453125" style="64"/>
    <col min="2" max="2" width="48.26953125" style="64" customWidth="1"/>
    <col min="3" max="3" width="11.453125" style="64"/>
    <col min="4" max="5" width="11.7265625" style="64" customWidth="1"/>
    <col min="6" max="6" width="15" style="64" customWidth="1"/>
    <col min="7" max="7" width="15.26953125" style="64" customWidth="1"/>
    <col min="8" max="8" width="6.26953125" style="64" customWidth="1"/>
    <col min="9" max="9" width="11.453125" style="64"/>
    <col min="10" max="10" width="11.7265625" style="64" bestFit="1" customWidth="1"/>
    <col min="11" max="16384" width="11.453125" style="64"/>
  </cols>
  <sheetData>
    <row r="1" spans="1:7" ht="18.75" customHeight="1">
      <c r="B1" s="499" t="str">
        <f>+'PRESUPUESTO GENERAL SISFV'!A1</f>
        <v>IMPLEMENTACIÓN DE SOLUCIONES ENERGÉTICAS SOSTENIBLES CON FUENTES NO CONVENCIONALES PARA LAS  COMUNIDADES RURALES DEL MUNICIPIO CARTAGENA DEL CHAIRÁ, DEPARTAMENTO DEL CAQUETÁ</v>
      </c>
      <c r="C1" s="499"/>
      <c r="D1" s="499"/>
      <c r="E1" s="499"/>
      <c r="F1" s="499"/>
      <c r="G1" s="499"/>
    </row>
    <row r="3" spans="1:7" ht="12.75" customHeight="1">
      <c r="B3" s="65" t="s">
        <v>556</v>
      </c>
      <c r="C3" s="66" t="str">
        <f>+'PRESUPUESTO GENERAL SISFV'!A13</f>
        <v>1.9</v>
      </c>
      <c r="D3" s="66"/>
      <c r="E3" s="66"/>
      <c r="F3" s="66"/>
      <c r="G3" s="67" t="s">
        <v>557</v>
      </c>
    </row>
    <row r="4" spans="1:7" ht="63" customHeight="1">
      <c r="B4" s="500" t="str">
        <f>+'PRESUPUESTO GENERAL SISFV'!B13</f>
        <v>Suministro e instalación de inversor tipo "off-grid" onda senoidal pura, potencia de 2000 W, 48 VDC entrada - 120 VAC salida, f=60 Hz, debe garantizar protección y desconexión por bajo voltaje en la batería, protección contra sobrecarga</v>
      </c>
      <c r="C4" s="506"/>
      <c r="D4" s="506"/>
      <c r="E4" s="507"/>
      <c r="G4" s="68" t="str">
        <f>+'PRESUPUESTO GENERAL SISFV'!C13</f>
        <v>UN</v>
      </c>
    </row>
    <row r="5" spans="1:7" ht="13">
      <c r="B5" s="69"/>
      <c r="G5" s="70"/>
    </row>
    <row r="6" spans="1:7" ht="13">
      <c r="B6" s="71" t="s">
        <v>558</v>
      </c>
    </row>
    <row r="7" spans="1:7" ht="13">
      <c r="A7" s="134" t="s">
        <v>204</v>
      </c>
      <c r="B7" s="72" t="s">
        <v>97</v>
      </c>
      <c r="C7" s="73" t="s">
        <v>364</v>
      </c>
      <c r="D7" s="73" t="s">
        <v>126</v>
      </c>
      <c r="E7" s="73" t="s">
        <v>483</v>
      </c>
      <c r="F7" s="73" t="s">
        <v>365</v>
      </c>
      <c r="G7" s="73" t="s">
        <v>366</v>
      </c>
    </row>
    <row r="8" spans="1:7" ht="25">
      <c r="A8" s="135">
        <v>149</v>
      </c>
      <c r="B8" s="104" t="str">
        <f>VLOOKUP(A8,Materiales3[],3,FALSE)</f>
        <v>Inversor de onda senoidal pura 48 VDC / 120 VAC -  2000 VA, FP=1</v>
      </c>
      <c r="C8" s="75" t="str">
        <f>VLOOKUP(A8,Materiales3[],4,FALSE)</f>
        <v>UN</v>
      </c>
      <c r="D8" s="76">
        <v>1</v>
      </c>
      <c r="E8" s="75">
        <f>VLOOKUP(A8,Materiales3[],5,FALSE)*D8</f>
        <v>4.5999999999999996</v>
      </c>
      <c r="F8" s="77">
        <f>VLOOKUP(A8,Materiales3[],6,FALSE)</f>
        <v>0</v>
      </c>
      <c r="G8" s="77">
        <f>D8*F8</f>
        <v>0</v>
      </c>
    </row>
    <row r="9" spans="1:7" ht="14.5">
      <c r="A9" s="135">
        <v>24</v>
      </c>
      <c r="B9" s="104" t="str">
        <f>VLOOKUP(A9,Materiales3[],3,FALSE)</f>
        <v>Borna para ponchar varios calibres y terminales</v>
      </c>
      <c r="C9" s="75" t="str">
        <f>VLOOKUP(A9,Materiales3[],4,FALSE)</f>
        <v>UN</v>
      </c>
      <c r="D9" s="76">
        <v>2</v>
      </c>
      <c r="E9" s="75">
        <f>VLOOKUP(A9,Materiales3[],5,FALSE)*D9</f>
        <v>1.6E-2</v>
      </c>
      <c r="F9" s="77">
        <f>VLOOKUP(A9,Materiales3[],6,FALSE)</f>
        <v>0</v>
      </c>
      <c r="G9" s="77">
        <f>D9*F9</f>
        <v>0</v>
      </c>
    </row>
    <row r="10" spans="1:7" ht="14.5">
      <c r="A10" s="7"/>
      <c r="B10" s="104"/>
      <c r="C10" s="75"/>
      <c r="D10" s="76"/>
      <c r="E10" s="75"/>
      <c r="F10" s="77"/>
      <c r="G10" s="77"/>
    </row>
    <row r="11" spans="1:7" ht="13">
      <c r="D11" s="82"/>
      <c r="E11" s="82"/>
      <c r="F11" s="83" t="s">
        <v>559</v>
      </c>
      <c r="G11" s="84">
        <f>SUM(G8:G10)</f>
        <v>0</v>
      </c>
    </row>
    <row r="12" spans="1:7">
      <c r="G12" s="108"/>
    </row>
    <row r="13" spans="1:7" ht="13">
      <c r="B13" s="85" t="s">
        <v>560</v>
      </c>
      <c r="G13" s="109"/>
    </row>
    <row r="14" spans="1:7" ht="13">
      <c r="A14" s="134" t="s">
        <v>204</v>
      </c>
      <c r="B14" s="72" t="s">
        <v>97</v>
      </c>
      <c r="C14" s="73" t="s">
        <v>2</v>
      </c>
      <c r="D14" s="73" t="s">
        <v>561</v>
      </c>
      <c r="E14" s="73"/>
      <c r="F14" s="73" t="s">
        <v>99</v>
      </c>
      <c r="G14" s="73" t="s">
        <v>366</v>
      </c>
    </row>
    <row r="15" spans="1:7" ht="14.5">
      <c r="A15" s="135">
        <v>1</v>
      </c>
      <c r="B15" s="78" t="str">
        <f>VLOOKUP(A15,Equipoyherramienta[],2,FALSE)</f>
        <v>Herramienta menor</v>
      </c>
      <c r="C15" s="79" t="str">
        <f>VLOOKUP(A15,Equipoyherramienta[],3,FALSE)</f>
        <v>UN</v>
      </c>
      <c r="D15" s="86">
        <f>VLOOKUP(A15,Equipoyherramienta[],4,FALSE)</f>
        <v>0</v>
      </c>
      <c r="E15" s="86"/>
      <c r="F15" s="106">
        <f>+RENDIMIENTOS!C19</f>
        <v>0</v>
      </c>
      <c r="G15" s="86" t="e">
        <f>ROUND(D15/F15,0)</f>
        <v>#DIV/0!</v>
      </c>
    </row>
    <row r="16" spans="1:7">
      <c r="B16" s="78"/>
      <c r="C16" s="79"/>
      <c r="D16" s="81"/>
      <c r="E16" s="81"/>
      <c r="F16" s="87"/>
      <c r="G16" s="88"/>
    </row>
    <row r="17" spans="1:7">
      <c r="B17" s="78"/>
      <c r="C17" s="79"/>
      <c r="D17" s="81"/>
      <c r="E17" s="81"/>
      <c r="F17" s="87"/>
      <c r="G17" s="88"/>
    </row>
    <row r="18" spans="1:7" ht="13">
      <c r="D18" s="82"/>
      <c r="E18" s="82"/>
      <c r="F18" s="83" t="s">
        <v>559</v>
      </c>
      <c r="G18" s="84" t="e">
        <f>SUM(G15:G17)</f>
        <v>#DIV/0!</v>
      </c>
    </row>
    <row r="19" spans="1:7" ht="13">
      <c r="D19" s="82"/>
      <c r="E19" s="82"/>
      <c r="F19" s="82"/>
      <c r="G19" s="89"/>
    </row>
    <row r="20" spans="1:7" ht="13">
      <c r="B20" s="71" t="s">
        <v>562</v>
      </c>
      <c r="G20" s="90"/>
    </row>
    <row r="21" spans="1:7" ht="13">
      <c r="A21" s="134" t="s">
        <v>204</v>
      </c>
      <c r="B21" s="72" t="s">
        <v>97</v>
      </c>
      <c r="C21" s="73" t="s">
        <v>364</v>
      </c>
      <c r="D21" s="73" t="s">
        <v>483</v>
      </c>
      <c r="E21" s="73"/>
      <c r="F21" s="73" t="s">
        <v>570</v>
      </c>
      <c r="G21" s="91" t="s">
        <v>366</v>
      </c>
    </row>
    <row r="22" spans="1:7" ht="50">
      <c r="A22" s="135">
        <v>6</v>
      </c>
      <c r="B22" s="92" t="str">
        <f>VLOOKUP(A22,Transp.[],2,FALSE)</f>
        <v>Carga terrestre desde Bogota hasta Usuario, incluye cargues, descargues, cruces de río, transporte semoviente, transporte fluvia, transporte en vehículo de carga pesada y liviano y cualquier otro tranposte.</v>
      </c>
      <c r="C22" s="75" t="s">
        <v>571</v>
      </c>
      <c r="D22" s="76">
        <f>SUM(E8:E10)</f>
        <v>4.6159999999999997</v>
      </c>
      <c r="E22" s="76"/>
      <c r="F22" s="94">
        <f>VLOOKUP(A22,Transp.[],6,FALSE)</f>
        <v>0</v>
      </c>
      <c r="G22" s="94">
        <f>D22*F22</f>
        <v>0</v>
      </c>
    </row>
    <row r="23" spans="1:7" ht="13.15" customHeight="1">
      <c r="A23" s="135"/>
      <c r="B23" s="92"/>
      <c r="C23" s="75"/>
      <c r="D23" s="76"/>
      <c r="E23" s="76"/>
      <c r="F23" s="94"/>
      <c r="G23" s="94"/>
    </row>
    <row r="24" spans="1:7" ht="13.15" customHeight="1">
      <c r="A24" s="135"/>
      <c r="B24" s="92"/>
      <c r="C24" s="75"/>
      <c r="D24" s="76"/>
      <c r="E24" s="76"/>
      <c r="F24" s="94"/>
      <c r="G24" s="94"/>
    </row>
    <row r="25" spans="1:7" ht="13">
      <c r="D25" s="82"/>
      <c r="E25" s="82"/>
      <c r="F25" s="96" t="s">
        <v>559</v>
      </c>
      <c r="G25" s="84">
        <f>SUM(G22:G24)</f>
        <v>0</v>
      </c>
    </row>
    <row r="27" spans="1:7" ht="13">
      <c r="B27" s="71" t="s">
        <v>566</v>
      </c>
      <c r="D27" s="97"/>
      <c r="E27" s="97"/>
      <c r="F27" s="98"/>
      <c r="G27" s="90"/>
    </row>
    <row r="28" spans="1:7" s="82" customFormat="1" ht="13">
      <c r="A28" s="134" t="s">
        <v>204</v>
      </c>
      <c r="B28" s="73" t="s">
        <v>97</v>
      </c>
      <c r="C28" s="73" t="s">
        <v>567</v>
      </c>
      <c r="D28" s="73" t="s">
        <v>568</v>
      </c>
      <c r="E28" s="73"/>
      <c r="F28" s="73" t="s">
        <v>99</v>
      </c>
      <c r="G28" s="91" t="s">
        <v>366</v>
      </c>
    </row>
    <row r="29" spans="1:7" ht="14.5">
      <c r="A29" s="135">
        <v>1</v>
      </c>
      <c r="B29" s="99" t="str">
        <f>VLOOKUP(A29,ManoObra[],2,FALSE)</f>
        <v>Electricista</v>
      </c>
      <c r="C29" s="100">
        <f>VLOOKUP(A29,ManoObra[],8,FALSE)</f>
        <v>0</v>
      </c>
      <c r="D29" s="87">
        <f>+FP!E27</f>
        <v>0</v>
      </c>
      <c r="E29" s="87"/>
      <c r="F29" s="106">
        <f>F15</f>
        <v>0</v>
      </c>
      <c r="G29" s="86" t="e">
        <f>ROUND(C29*D29/F29,0)</f>
        <v>#DIV/0!</v>
      </c>
    </row>
    <row r="30" spans="1:7" ht="14.5">
      <c r="A30" s="135">
        <v>2</v>
      </c>
      <c r="B30" s="99" t="str">
        <f>VLOOKUP(A30,ManoObra[],2,FALSE)</f>
        <v>Ayudante</v>
      </c>
      <c r="C30" s="100">
        <f>VLOOKUP(A30,ManoObra[],8,FALSE)</f>
        <v>0</v>
      </c>
      <c r="D30" s="87">
        <f>+FP!E27</f>
        <v>0</v>
      </c>
      <c r="E30" s="87"/>
      <c r="F30" s="106">
        <f>F15</f>
        <v>0</v>
      </c>
      <c r="G30" s="86" t="e">
        <f>ROUND(C30*D30/F30,0)</f>
        <v>#DIV/0!</v>
      </c>
    </row>
    <row r="31" spans="1:7" ht="14.5">
      <c r="A31" s="135"/>
      <c r="B31" s="105"/>
      <c r="C31" s="100"/>
      <c r="D31" s="87"/>
      <c r="E31" s="87"/>
      <c r="F31" s="80"/>
      <c r="G31" s="86"/>
    </row>
    <row r="32" spans="1:7" ht="13">
      <c r="D32" s="82"/>
      <c r="E32" s="82"/>
      <c r="F32" s="96" t="s">
        <v>559</v>
      </c>
      <c r="G32" s="110" t="e">
        <f>SUM(G29:G31)</f>
        <v>#DIV/0!</v>
      </c>
    </row>
    <row r="33" spans="2:7" ht="13">
      <c r="D33" s="82"/>
      <c r="E33" s="82"/>
      <c r="G33" s="90"/>
    </row>
    <row r="34" spans="2:7" ht="12.75" customHeight="1">
      <c r="B34" s="82"/>
      <c r="D34" s="503" t="s">
        <v>569</v>
      </c>
      <c r="E34" s="505"/>
      <c r="F34" s="504"/>
      <c r="G34" s="101" t="e">
        <f>G11+G18+G25+G32</f>
        <v>#DIV/0!</v>
      </c>
    </row>
  </sheetData>
  <mergeCells count="3">
    <mergeCell ref="B1:G1"/>
    <mergeCell ref="B4:E4"/>
    <mergeCell ref="D34:F3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7DB1-B893-4726-84F3-FF03114F4EA5}">
  <sheetPr>
    <tabColor theme="4" tint="0.59999389629810485"/>
    <pageSetUpPr fitToPage="1"/>
  </sheetPr>
  <dimension ref="A1:G34"/>
  <sheetViews>
    <sheetView showGridLines="0" view="pageBreakPreview" zoomScale="80" zoomScaleNormal="120" zoomScaleSheetLayoutView="80" workbookViewId="0">
      <selection activeCell="A4" sqref="A4:A36"/>
    </sheetView>
  </sheetViews>
  <sheetFormatPr baseColWidth="10" defaultColWidth="11.453125" defaultRowHeight="12.5"/>
  <cols>
    <col min="1" max="1" width="11.453125" style="64"/>
    <col min="2" max="2" width="48.26953125" style="64" customWidth="1"/>
    <col min="3" max="3" width="11.453125" style="64"/>
    <col min="4" max="5" width="11.7265625" style="64" customWidth="1"/>
    <col min="6" max="6" width="15" style="64" customWidth="1"/>
    <col min="7" max="7" width="15.26953125" style="64" customWidth="1"/>
    <col min="8" max="8" width="6.26953125" style="64" customWidth="1"/>
    <col min="9" max="9" width="11.453125" style="64"/>
    <col min="10" max="10" width="11.7265625" style="64" bestFit="1" customWidth="1"/>
    <col min="11" max="16384" width="11.453125" style="64"/>
  </cols>
  <sheetData>
    <row r="1" spans="1:7" ht="18.75" customHeight="1">
      <c r="B1" s="499" t="str">
        <f>+'PRESUPUESTO GENERAL SISFV'!A1</f>
        <v>IMPLEMENTACIÓN DE SOLUCIONES ENERGÉTICAS SOSTENIBLES CON FUENTES NO CONVENCIONALES PARA LAS  COMUNIDADES RURALES DEL MUNICIPIO CARTAGENA DEL CHAIRÁ, DEPARTAMENTO DEL CAQUETÁ</v>
      </c>
      <c r="C1" s="499"/>
      <c r="D1" s="499"/>
      <c r="E1" s="499"/>
      <c r="F1" s="499"/>
      <c r="G1" s="499"/>
    </row>
    <row r="3" spans="1:7" ht="12.75" customHeight="1">
      <c r="B3" s="65" t="s">
        <v>556</v>
      </c>
      <c r="C3" s="66" t="str">
        <f>+'PRESUPUESTO GENERAL SISFV'!A14</f>
        <v>1.10</v>
      </c>
      <c r="D3" s="66"/>
      <c r="E3" s="66"/>
      <c r="F3" s="66"/>
      <c r="G3" s="67" t="s">
        <v>557</v>
      </c>
    </row>
    <row r="4" spans="1:7" ht="63" customHeight="1">
      <c r="B4" s="500" t="str">
        <f>+'PRESUPUESTO GENERAL SISFV'!B14</f>
        <v>Suministro e instalación de inversor tipo "off-grid" onda senoidal pura, potencia de 3000 W, 48 VDC entrada - 120 VAC salida, f=60 Hz, debe garantizar protección y desconexión por bajo voltaje en la batería, protección contra sobrecarga</v>
      </c>
      <c r="C4" s="506"/>
      <c r="D4" s="506"/>
      <c r="E4" s="507"/>
      <c r="G4" s="68" t="str">
        <f>+'PRESUPUESTO GENERAL SISFV'!C14</f>
        <v>UN</v>
      </c>
    </row>
    <row r="5" spans="1:7" ht="13">
      <c r="B5" s="69"/>
      <c r="G5" s="70"/>
    </row>
    <row r="6" spans="1:7" ht="13">
      <c r="B6" s="71" t="s">
        <v>558</v>
      </c>
    </row>
    <row r="7" spans="1:7" ht="13">
      <c r="A7" s="134" t="s">
        <v>204</v>
      </c>
      <c r="B7" s="72" t="s">
        <v>97</v>
      </c>
      <c r="C7" s="73" t="s">
        <v>364</v>
      </c>
      <c r="D7" s="73" t="s">
        <v>126</v>
      </c>
      <c r="E7" s="73" t="s">
        <v>483</v>
      </c>
      <c r="F7" s="73" t="s">
        <v>365</v>
      </c>
      <c r="G7" s="73" t="s">
        <v>366</v>
      </c>
    </row>
    <row r="8" spans="1:7" ht="25">
      <c r="A8" s="135">
        <v>409</v>
      </c>
      <c r="B8" s="104" t="str">
        <f>VLOOKUP(A8,Materiales3[],3,FALSE)</f>
        <v>Inversor "off-grid" de 3000 W, 48 VDC - 120 VAC, 60 Hz, onda senoidal pura con display LCD</v>
      </c>
      <c r="C8" s="75" t="str">
        <f>VLOOKUP(A8,Materiales3[],4,FALSE)</f>
        <v>UN</v>
      </c>
      <c r="D8" s="76">
        <v>1</v>
      </c>
      <c r="E8" s="75">
        <f>VLOOKUP(A8,Materiales3[],5,FALSE)*D8</f>
        <v>19</v>
      </c>
      <c r="F8" s="77">
        <f>VLOOKUP(A8,Materiales3[],6,FALSE)</f>
        <v>0</v>
      </c>
      <c r="G8" s="77">
        <f>D8*F8</f>
        <v>0</v>
      </c>
    </row>
    <row r="9" spans="1:7" ht="14.5">
      <c r="A9" s="135">
        <v>24</v>
      </c>
      <c r="B9" s="104" t="str">
        <f>VLOOKUP(A9,Materiales3[],3,FALSE)</f>
        <v>Borna para ponchar varios calibres y terminales</v>
      </c>
      <c r="C9" s="75" t="str">
        <f>VLOOKUP(A9,Materiales3[],4,FALSE)</f>
        <v>UN</v>
      </c>
      <c r="D9" s="76">
        <v>2</v>
      </c>
      <c r="E9" s="75">
        <f>VLOOKUP(A9,Materiales3[],5,FALSE)*D9</f>
        <v>1.6E-2</v>
      </c>
      <c r="F9" s="77">
        <f>VLOOKUP(A9,Materiales3[],6,FALSE)</f>
        <v>0</v>
      </c>
      <c r="G9" s="77">
        <f>D9*F9</f>
        <v>0</v>
      </c>
    </row>
    <row r="10" spans="1:7" ht="14.5">
      <c r="A10" s="7"/>
      <c r="B10" s="104"/>
      <c r="C10" s="75"/>
      <c r="D10" s="76"/>
      <c r="E10" s="75"/>
      <c r="F10" s="77"/>
      <c r="G10" s="77"/>
    </row>
    <row r="11" spans="1:7" ht="13">
      <c r="D11" s="82"/>
      <c r="E11" s="82"/>
      <c r="F11" s="83" t="s">
        <v>559</v>
      </c>
      <c r="G11" s="84">
        <f>SUM(G8:G10)</f>
        <v>0</v>
      </c>
    </row>
    <row r="12" spans="1:7">
      <c r="G12" s="108"/>
    </row>
    <row r="13" spans="1:7" ht="13">
      <c r="B13" s="85" t="s">
        <v>560</v>
      </c>
      <c r="G13" s="109"/>
    </row>
    <row r="14" spans="1:7" ht="13">
      <c r="A14" s="134" t="s">
        <v>204</v>
      </c>
      <c r="B14" s="72" t="s">
        <v>97</v>
      </c>
      <c r="C14" s="73" t="s">
        <v>2</v>
      </c>
      <c r="D14" s="73" t="s">
        <v>561</v>
      </c>
      <c r="E14" s="73"/>
      <c r="F14" s="73" t="s">
        <v>99</v>
      </c>
      <c r="G14" s="73" t="s">
        <v>366</v>
      </c>
    </row>
    <row r="15" spans="1:7" ht="14.5">
      <c r="A15" s="135">
        <v>1</v>
      </c>
      <c r="B15" s="78" t="str">
        <f>VLOOKUP(A15,Equipoyherramienta[],2,FALSE)</f>
        <v>Herramienta menor</v>
      </c>
      <c r="C15" s="79" t="str">
        <f>VLOOKUP(A15,Equipoyherramienta[],3,FALSE)</f>
        <v>UN</v>
      </c>
      <c r="D15" s="86">
        <f>VLOOKUP(A15,Equipoyherramienta[],4,FALSE)</f>
        <v>0</v>
      </c>
      <c r="E15" s="86"/>
      <c r="F15" s="106">
        <f>+RENDIMIENTOS!C19</f>
        <v>0</v>
      </c>
      <c r="G15" s="86" t="e">
        <f>ROUND(D15/F15,0)</f>
        <v>#DIV/0!</v>
      </c>
    </row>
    <row r="16" spans="1:7">
      <c r="B16" s="78"/>
      <c r="C16" s="79"/>
      <c r="D16" s="81"/>
      <c r="E16" s="81"/>
      <c r="F16" s="87"/>
      <c r="G16" s="88"/>
    </row>
    <row r="17" spans="1:7">
      <c r="B17" s="78"/>
      <c r="C17" s="79"/>
      <c r="D17" s="81"/>
      <c r="E17" s="81"/>
      <c r="F17" s="87"/>
      <c r="G17" s="88"/>
    </row>
    <row r="18" spans="1:7" ht="13">
      <c r="D18" s="82"/>
      <c r="E18" s="82"/>
      <c r="F18" s="83" t="s">
        <v>559</v>
      </c>
      <c r="G18" s="84" t="e">
        <f>SUM(G15:G17)</f>
        <v>#DIV/0!</v>
      </c>
    </row>
    <row r="19" spans="1:7" ht="13">
      <c r="D19" s="82"/>
      <c r="E19" s="82"/>
      <c r="F19" s="82"/>
      <c r="G19" s="89"/>
    </row>
    <row r="20" spans="1:7" ht="13">
      <c r="B20" s="71" t="s">
        <v>562</v>
      </c>
      <c r="G20" s="90"/>
    </row>
    <row r="21" spans="1:7" ht="13">
      <c r="A21" s="134" t="s">
        <v>204</v>
      </c>
      <c r="B21" s="72" t="s">
        <v>97</v>
      </c>
      <c r="C21" s="73" t="s">
        <v>364</v>
      </c>
      <c r="D21" s="73" t="s">
        <v>483</v>
      </c>
      <c r="E21" s="73"/>
      <c r="F21" s="73" t="s">
        <v>570</v>
      </c>
      <c r="G21" s="91" t="s">
        <v>366</v>
      </c>
    </row>
    <row r="22" spans="1:7" ht="50">
      <c r="A22" s="135">
        <v>6</v>
      </c>
      <c r="B22" s="92" t="str">
        <f>VLOOKUP(A22,Transp.[],2,FALSE)</f>
        <v>Carga terrestre desde Bogota hasta Usuario, incluye cargues, descargues, cruces de río, transporte semoviente, transporte fluvia, transporte en vehículo de carga pesada y liviano y cualquier otro tranposte.</v>
      </c>
      <c r="C22" s="75" t="s">
        <v>571</v>
      </c>
      <c r="D22" s="76">
        <f>SUM(E8:E10)</f>
        <v>19.015999999999998</v>
      </c>
      <c r="E22" s="76"/>
      <c r="F22" s="94">
        <f>VLOOKUP(A22,Transp.[],6,FALSE)</f>
        <v>0</v>
      </c>
      <c r="G22" s="94">
        <f>D22*F22</f>
        <v>0</v>
      </c>
    </row>
    <row r="23" spans="1:7" ht="13.15" customHeight="1">
      <c r="A23" s="135"/>
      <c r="B23" s="92"/>
      <c r="C23" s="75"/>
      <c r="D23" s="76"/>
      <c r="E23" s="76"/>
      <c r="F23" s="94"/>
      <c r="G23" s="94"/>
    </row>
    <row r="24" spans="1:7" ht="13.15" customHeight="1">
      <c r="A24" s="135"/>
      <c r="B24" s="92"/>
      <c r="C24" s="75"/>
      <c r="D24" s="76"/>
      <c r="E24" s="76"/>
      <c r="F24" s="94"/>
      <c r="G24" s="94"/>
    </row>
    <row r="25" spans="1:7" ht="13">
      <c r="D25" s="82"/>
      <c r="E25" s="82"/>
      <c r="F25" s="96" t="s">
        <v>559</v>
      </c>
      <c r="G25" s="84">
        <f>SUM(G22:G24)</f>
        <v>0</v>
      </c>
    </row>
    <row r="27" spans="1:7" ht="13">
      <c r="B27" s="71" t="s">
        <v>566</v>
      </c>
      <c r="D27" s="97"/>
      <c r="E27" s="97"/>
      <c r="F27" s="98"/>
      <c r="G27" s="90"/>
    </row>
    <row r="28" spans="1:7" s="82" customFormat="1" ht="13">
      <c r="A28" s="134" t="s">
        <v>204</v>
      </c>
      <c r="B28" s="73" t="s">
        <v>97</v>
      </c>
      <c r="C28" s="73" t="s">
        <v>567</v>
      </c>
      <c r="D28" s="73" t="s">
        <v>568</v>
      </c>
      <c r="E28" s="73"/>
      <c r="F28" s="73" t="s">
        <v>99</v>
      </c>
      <c r="G28" s="91" t="s">
        <v>366</v>
      </c>
    </row>
    <row r="29" spans="1:7" ht="14.5">
      <c r="A29" s="135">
        <v>1</v>
      </c>
      <c r="B29" s="99" t="str">
        <f>VLOOKUP(A29,ManoObra[],2,FALSE)</f>
        <v>Electricista</v>
      </c>
      <c r="C29" s="100">
        <f>VLOOKUP(A29,ManoObra[],8,FALSE)</f>
        <v>0</v>
      </c>
      <c r="D29" s="87">
        <f>+FP!E27</f>
        <v>0</v>
      </c>
      <c r="E29" s="87"/>
      <c r="F29" s="106">
        <f>F15</f>
        <v>0</v>
      </c>
      <c r="G29" s="86" t="e">
        <f>ROUND(C29*D29/F29,0)</f>
        <v>#DIV/0!</v>
      </c>
    </row>
    <row r="30" spans="1:7" ht="14.5">
      <c r="A30" s="135">
        <v>2</v>
      </c>
      <c r="B30" s="99" t="str">
        <f>VLOOKUP(A30,ManoObra[],2,FALSE)</f>
        <v>Ayudante</v>
      </c>
      <c r="C30" s="100">
        <f>VLOOKUP(A30,ManoObra[],8,FALSE)</f>
        <v>0</v>
      </c>
      <c r="D30" s="87">
        <f>+FP!E27</f>
        <v>0</v>
      </c>
      <c r="E30" s="87"/>
      <c r="F30" s="106">
        <f>F15</f>
        <v>0</v>
      </c>
      <c r="G30" s="86" t="e">
        <f>ROUND(C30*D30/F30,0)</f>
        <v>#DIV/0!</v>
      </c>
    </row>
    <row r="31" spans="1:7" ht="14.5">
      <c r="A31" s="135"/>
      <c r="B31" s="105"/>
      <c r="C31" s="100"/>
      <c r="D31" s="87"/>
      <c r="E31" s="87"/>
      <c r="F31" s="80"/>
      <c r="G31" s="86"/>
    </row>
    <row r="32" spans="1:7" ht="13">
      <c r="D32" s="82"/>
      <c r="E32" s="82"/>
      <c r="F32" s="96" t="s">
        <v>559</v>
      </c>
      <c r="G32" s="110" t="e">
        <f>SUM(G29:G31)</f>
        <v>#DIV/0!</v>
      </c>
    </row>
    <row r="33" spans="2:7" ht="13">
      <c r="D33" s="82"/>
      <c r="E33" s="82"/>
      <c r="G33" s="90"/>
    </row>
    <row r="34" spans="2:7" ht="12.75" customHeight="1">
      <c r="B34" s="82"/>
      <c r="D34" s="503" t="s">
        <v>569</v>
      </c>
      <c r="E34" s="505"/>
      <c r="F34" s="504"/>
      <c r="G34" s="101" t="e">
        <f>G11+G18+G25+G32</f>
        <v>#DIV/0!</v>
      </c>
    </row>
  </sheetData>
  <mergeCells count="3">
    <mergeCell ref="B1:G1"/>
    <mergeCell ref="B4:E4"/>
    <mergeCell ref="D34:F3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8BC9-7EB2-4D19-8909-F179F7A6BF18}">
  <sheetPr>
    <tabColor theme="4" tint="0.59999389629810485"/>
    <pageSetUpPr fitToPage="1"/>
  </sheetPr>
  <dimension ref="A1:G37"/>
  <sheetViews>
    <sheetView showGridLines="0" view="pageBreakPreview" zoomScale="80" zoomScaleNormal="120" zoomScaleSheetLayoutView="80" workbookViewId="0">
      <selection activeCell="A4" sqref="A4:A76"/>
    </sheetView>
  </sheetViews>
  <sheetFormatPr baseColWidth="10" defaultColWidth="11.453125" defaultRowHeight="12.5"/>
  <cols>
    <col min="1" max="1" width="11.453125" style="64"/>
    <col min="2" max="2" width="48.26953125" style="64" customWidth="1"/>
    <col min="3" max="3" width="11.453125" style="64"/>
    <col min="4" max="5" width="11.7265625" style="64" customWidth="1"/>
    <col min="6" max="6" width="15" style="64" customWidth="1"/>
    <col min="7" max="7" width="15.26953125" style="64" customWidth="1"/>
    <col min="8" max="8" width="6.26953125" style="64" customWidth="1"/>
    <col min="9" max="9" width="11.453125" style="64"/>
    <col min="10" max="10" width="11.7265625" style="64" bestFit="1" customWidth="1"/>
    <col min="11" max="16384" width="11.453125" style="64"/>
  </cols>
  <sheetData>
    <row r="1" spans="1:7" ht="18.75" customHeight="1">
      <c r="B1" s="499" t="str">
        <f>+'PRESUPUESTO GENERAL SISFV'!A1</f>
        <v>IMPLEMENTACIÓN DE SOLUCIONES ENERGÉTICAS SOSTENIBLES CON FUENTES NO CONVENCIONALES PARA LAS  COMUNIDADES RURALES DEL MUNICIPIO CARTAGENA DEL CHAIRÁ, DEPARTAMENTO DEL CAQUETÁ</v>
      </c>
      <c r="C1" s="499"/>
      <c r="D1" s="499"/>
      <c r="E1" s="499"/>
      <c r="F1" s="499"/>
      <c r="G1" s="499"/>
    </row>
    <row r="3" spans="1:7" ht="12.75" customHeight="1">
      <c r="B3" s="65" t="s">
        <v>556</v>
      </c>
      <c r="C3" s="66" t="str">
        <f>+'PRESUPUESTO GENERAL SISFV'!A15</f>
        <v>1.11</v>
      </c>
      <c r="D3" s="66"/>
      <c r="E3" s="66"/>
      <c r="F3" s="66"/>
      <c r="G3" s="67" t="s">
        <v>557</v>
      </c>
    </row>
    <row r="4" spans="1:7" ht="61.9" customHeight="1">
      <c r="B4" s="508" t="str">
        <f>+'PRESUPUESTO GENERAL SISFV'!B15</f>
        <v>Sistema de puesta a tierra  Instalacion Tipo I con una varilla de cobre 5/8" x 2,4m, bajante en cable de cobre desnudo temple duro o verde Nº 6, con soldadura exotérmica y tratamiento de suelos, caja de inspección de 30 x 30 cm.</v>
      </c>
      <c r="C4" s="509"/>
      <c r="D4" s="509"/>
      <c r="E4" s="510"/>
      <c r="G4" s="68" t="str">
        <f>+'PRESUPUESTO GENERAL SISFV'!C15</f>
        <v>UN</v>
      </c>
    </row>
    <row r="5" spans="1:7" ht="13">
      <c r="B5" s="69"/>
      <c r="G5" s="70"/>
    </row>
    <row r="6" spans="1:7" ht="13">
      <c r="B6" s="71" t="s">
        <v>558</v>
      </c>
    </row>
    <row r="7" spans="1:7" ht="13">
      <c r="A7" s="134" t="s">
        <v>204</v>
      </c>
      <c r="B7" s="72" t="s">
        <v>97</v>
      </c>
      <c r="C7" s="73" t="s">
        <v>364</v>
      </c>
      <c r="D7" s="73" t="s">
        <v>126</v>
      </c>
      <c r="E7" s="73" t="s">
        <v>483</v>
      </c>
      <c r="F7" s="73" t="s">
        <v>365</v>
      </c>
      <c r="G7" s="73" t="s">
        <v>366</v>
      </c>
    </row>
    <row r="8" spans="1:7" ht="14.5">
      <c r="A8" s="135">
        <v>68</v>
      </c>
      <c r="B8" s="104" t="str">
        <f>VLOOKUP(A8,Materiales3[],3,FALSE)</f>
        <v>Varilla de cobre 5/8 x 2.4 m</v>
      </c>
      <c r="C8" s="75" t="str">
        <f>VLOOKUP(A8,Materiales3[],4,FALSE)</f>
        <v>UN</v>
      </c>
      <c r="D8" s="75">
        <v>1</v>
      </c>
      <c r="E8" s="75">
        <f>VLOOKUP(A8,Materiales3[],5,FALSE)*D8</f>
        <v>3.07</v>
      </c>
      <c r="F8" s="77">
        <f>VLOOKUP(A8,Materiales3[],6,FALSE)</f>
        <v>0</v>
      </c>
      <c r="G8" s="77">
        <f>D8*F8</f>
        <v>0</v>
      </c>
    </row>
    <row r="9" spans="1:7" ht="14.5">
      <c r="A9" s="135">
        <v>72</v>
      </c>
      <c r="B9" s="104" t="str">
        <f>VLOOKUP(A9,Materiales3[],3,FALSE)</f>
        <v>Caja de inspección 30x30 cm con tapa</v>
      </c>
      <c r="C9" s="75" t="str">
        <f>VLOOKUP(A9,Materiales3[],4,FALSE)</f>
        <v>UN</v>
      </c>
      <c r="D9" s="75">
        <v>1</v>
      </c>
      <c r="E9" s="75">
        <f>VLOOKUP(A9,Materiales3[],5,FALSE)*D9</f>
        <v>4</v>
      </c>
      <c r="F9" s="77">
        <f>VLOOKUP(A9,Materiales3[],6,FALSE)</f>
        <v>0</v>
      </c>
      <c r="G9" s="77">
        <f t="shared" ref="G9:G13" si="0">D9*F9</f>
        <v>0</v>
      </c>
    </row>
    <row r="10" spans="1:7" ht="14.5">
      <c r="A10" s="135">
        <v>24</v>
      </c>
      <c r="B10" s="104" t="str">
        <f>VLOOKUP(A10,Materiales3[],3,FALSE)</f>
        <v>Borna para ponchar varios calibres y terminales</v>
      </c>
      <c r="C10" s="75" t="str">
        <f>VLOOKUP(A10,Materiales3[],4,FALSE)</f>
        <v>UN</v>
      </c>
      <c r="D10" s="75">
        <v>2</v>
      </c>
      <c r="E10" s="75">
        <f>VLOOKUP(A10,Materiales3[],5,FALSE)*D10</f>
        <v>1.6E-2</v>
      </c>
      <c r="F10" s="77">
        <f>VLOOKUP(A10,Materiales3[],6,FALSE)</f>
        <v>0</v>
      </c>
      <c r="G10" s="77">
        <f t="shared" si="0"/>
        <v>0</v>
      </c>
    </row>
    <row r="11" spans="1:7" ht="14.5">
      <c r="A11" s="135">
        <v>308</v>
      </c>
      <c r="B11" s="104" t="str">
        <f>VLOOKUP(A11,Materiales3[],3,FALSE)</f>
        <v>Soldadura exotermica 115 gr</v>
      </c>
      <c r="C11" s="75" t="str">
        <f>VLOOKUP(A11,Materiales3[],4,FALSE)</f>
        <v>UN</v>
      </c>
      <c r="D11" s="75">
        <v>2</v>
      </c>
      <c r="E11" s="75">
        <f>VLOOKUP(A11,Materiales3[],5,FALSE)*D11</f>
        <v>0.24</v>
      </c>
      <c r="F11" s="77">
        <f>VLOOKUP(A11,Materiales3[],6,FALSE)</f>
        <v>0</v>
      </c>
      <c r="G11" s="77">
        <f t="shared" si="0"/>
        <v>0</v>
      </c>
    </row>
    <row r="12" spans="1:7" ht="14.5">
      <c r="A12" s="135">
        <v>241</v>
      </c>
      <c r="B12" s="104" t="str">
        <f>VLOOKUP(A12,Materiales3[],3,FALSE)</f>
        <v>Cable Cu THHN 6 AWG</v>
      </c>
      <c r="C12" s="75" t="str">
        <f>VLOOKUP(A12,Materiales3[],4,FALSE)</f>
        <v>ML</v>
      </c>
      <c r="D12" s="75">
        <f>3+1</f>
        <v>4</v>
      </c>
      <c r="E12" s="75">
        <f>VLOOKUP(A12,Materiales3[],5,FALSE)*D12</f>
        <v>0.67200000000000004</v>
      </c>
      <c r="F12" s="77">
        <f>VLOOKUP(A12,Materiales3[],6,FALSE)</f>
        <v>0</v>
      </c>
      <c r="G12" s="77">
        <f t="shared" si="0"/>
        <v>0</v>
      </c>
    </row>
    <row r="13" spans="1:7" ht="14.5">
      <c r="A13" s="135">
        <v>245</v>
      </c>
      <c r="B13" s="104" t="str">
        <f>VLOOKUP(A13,Materiales3[],3,FALSE)</f>
        <v>Bentonita mejorada</v>
      </c>
      <c r="C13" s="75" t="str">
        <f>VLOOKUP(A13,Materiales3[],4,FALSE)</f>
        <v>BULTO</v>
      </c>
      <c r="D13" s="75">
        <v>0.5</v>
      </c>
      <c r="E13" s="75">
        <f>VLOOKUP(A13,Materiales3[],5,FALSE)*D13</f>
        <v>25</v>
      </c>
      <c r="F13" s="77">
        <f>VLOOKUP(A13,Materiales3[],6,FALSE)</f>
        <v>0</v>
      </c>
      <c r="G13" s="77">
        <f t="shared" si="0"/>
        <v>0</v>
      </c>
    </row>
    <row r="14" spans="1:7" ht="13">
      <c r="D14" s="82"/>
      <c r="E14" s="82"/>
      <c r="F14" s="83" t="s">
        <v>559</v>
      </c>
      <c r="G14" s="84">
        <f>SUM(G8:G13)</f>
        <v>0</v>
      </c>
    </row>
    <row r="15" spans="1:7">
      <c r="G15" s="108"/>
    </row>
    <row r="16" spans="1:7" ht="13">
      <c r="B16" s="85" t="s">
        <v>560</v>
      </c>
      <c r="G16" s="109"/>
    </row>
    <row r="17" spans="1:7" ht="13">
      <c r="A17" s="134" t="s">
        <v>204</v>
      </c>
      <c r="B17" s="72" t="s">
        <v>97</v>
      </c>
      <c r="C17" s="73" t="s">
        <v>2</v>
      </c>
      <c r="D17" s="73" t="s">
        <v>561</v>
      </c>
      <c r="E17" s="73"/>
      <c r="F17" s="73" t="s">
        <v>99</v>
      </c>
      <c r="G17" s="73" t="s">
        <v>366</v>
      </c>
    </row>
    <row r="18" spans="1:7" ht="14.5">
      <c r="A18" s="135">
        <v>1</v>
      </c>
      <c r="B18" s="78" t="str">
        <f>VLOOKUP(A18,Equipoyherramienta[],2,FALSE)</f>
        <v>Herramienta menor</v>
      </c>
      <c r="C18" s="79" t="str">
        <f>VLOOKUP(A18,Equipoyherramienta[],3,FALSE)</f>
        <v>UN</v>
      </c>
      <c r="D18" s="86">
        <f>VLOOKUP(A18,Equipoyherramienta[],4,FALSE)</f>
        <v>0</v>
      </c>
      <c r="E18" s="86"/>
      <c r="F18" s="106">
        <f>+RENDIMIENTOS!C45</f>
        <v>0</v>
      </c>
      <c r="G18" s="86" t="e">
        <f>ROUND(D18/F18,0)</f>
        <v>#DIV/0!</v>
      </c>
    </row>
    <row r="19" spans="1:7">
      <c r="B19" s="78"/>
      <c r="C19" s="79"/>
      <c r="D19" s="81"/>
      <c r="E19" s="81"/>
      <c r="F19" s="87"/>
      <c r="G19" s="88"/>
    </row>
    <row r="20" spans="1:7">
      <c r="B20" s="78"/>
      <c r="C20" s="79"/>
      <c r="D20" s="81"/>
      <c r="E20" s="81"/>
      <c r="F20" s="87"/>
      <c r="G20" s="88"/>
    </row>
    <row r="21" spans="1:7" ht="13">
      <c r="D21" s="82"/>
      <c r="E21" s="82"/>
      <c r="F21" s="83" t="s">
        <v>559</v>
      </c>
      <c r="G21" s="84" t="e">
        <f>SUM(G18:G20)</f>
        <v>#DIV/0!</v>
      </c>
    </row>
    <row r="22" spans="1:7" ht="13">
      <c r="D22" s="82"/>
      <c r="E22" s="82"/>
      <c r="F22" s="82"/>
      <c r="G22" s="89"/>
    </row>
    <row r="23" spans="1:7" ht="13">
      <c r="B23" s="71" t="s">
        <v>562</v>
      </c>
      <c r="G23" s="90"/>
    </row>
    <row r="24" spans="1:7" ht="13">
      <c r="A24" s="134" t="s">
        <v>204</v>
      </c>
      <c r="B24" s="72" t="s">
        <v>97</v>
      </c>
      <c r="C24" s="73" t="s">
        <v>364</v>
      </c>
      <c r="D24" s="73" t="s">
        <v>483</v>
      </c>
      <c r="E24" s="73"/>
      <c r="F24" s="73" t="s">
        <v>570</v>
      </c>
      <c r="G24" s="91" t="s">
        <v>366</v>
      </c>
    </row>
    <row r="25" spans="1:7" ht="50">
      <c r="A25" s="135">
        <v>6</v>
      </c>
      <c r="B25" s="92" t="str">
        <f>VLOOKUP(A25,Transp.[],2,FALSE)</f>
        <v>Carga terrestre desde Bogota hasta Usuario, incluye cargues, descargues, cruces de río, transporte semoviente, transporte fluvia, transporte en vehículo de carga pesada y liviano y cualquier otro tranposte.</v>
      </c>
      <c r="C25" s="75" t="s">
        <v>571</v>
      </c>
      <c r="D25" s="76">
        <f>SUM(E8:E13)</f>
        <v>32.997999999999998</v>
      </c>
      <c r="E25" s="76"/>
      <c r="F25" s="94">
        <f>VLOOKUP(A25,Transp.[],6,FALSE)</f>
        <v>0</v>
      </c>
      <c r="G25" s="94">
        <f>D25*F25</f>
        <v>0</v>
      </c>
    </row>
    <row r="26" spans="1:7" ht="13.15" customHeight="1">
      <c r="A26" s="135"/>
      <c r="B26" s="92"/>
      <c r="C26" s="75"/>
      <c r="D26" s="76"/>
      <c r="E26" s="76"/>
      <c r="F26" s="94"/>
      <c r="G26" s="94"/>
    </row>
    <row r="27" spans="1:7" ht="13.15" customHeight="1">
      <c r="A27" s="135"/>
      <c r="B27" s="92"/>
      <c r="C27" s="75"/>
      <c r="D27" s="76"/>
      <c r="E27" s="76"/>
      <c r="F27" s="94"/>
      <c r="G27" s="94"/>
    </row>
    <row r="28" spans="1:7" ht="13">
      <c r="D28" s="82"/>
      <c r="E28" s="82"/>
      <c r="F28" s="96" t="s">
        <v>559</v>
      </c>
      <c r="G28" s="84">
        <f>SUM(G25:G27)</f>
        <v>0</v>
      </c>
    </row>
    <row r="30" spans="1:7" ht="13">
      <c r="B30" s="71" t="s">
        <v>566</v>
      </c>
      <c r="D30" s="97"/>
      <c r="E30" s="97"/>
      <c r="F30" s="98"/>
      <c r="G30" s="90"/>
    </row>
    <row r="31" spans="1:7" s="82" customFormat="1" ht="13">
      <c r="A31" s="134" t="s">
        <v>204</v>
      </c>
      <c r="B31" s="73" t="s">
        <v>97</v>
      </c>
      <c r="C31" s="73" t="s">
        <v>567</v>
      </c>
      <c r="D31" s="73" t="s">
        <v>568</v>
      </c>
      <c r="E31" s="73"/>
      <c r="F31" s="73" t="s">
        <v>99</v>
      </c>
      <c r="G31" s="91" t="s">
        <v>366</v>
      </c>
    </row>
    <row r="32" spans="1:7" ht="14.5">
      <c r="A32" s="135">
        <v>1</v>
      </c>
      <c r="B32" s="99" t="str">
        <f>VLOOKUP(A32,ManoObra[],2,FALSE)</f>
        <v>Electricista</v>
      </c>
      <c r="C32" s="100">
        <f>VLOOKUP(A32,ManoObra[],8,FALSE)</f>
        <v>0</v>
      </c>
      <c r="D32" s="87">
        <f>+FP!E27</f>
        <v>0</v>
      </c>
      <c r="E32" s="87"/>
      <c r="F32" s="106">
        <f>F18</f>
        <v>0</v>
      </c>
      <c r="G32" s="86" t="e">
        <f>ROUND(C32*D32/F32,0)</f>
        <v>#DIV/0!</v>
      </c>
    </row>
    <row r="33" spans="1:7" ht="14.5">
      <c r="A33" s="135">
        <v>2</v>
      </c>
      <c r="B33" s="99" t="str">
        <f>VLOOKUP(A33,ManoObra[],2,FALSE)</f>
        <v>Ayudante</v>
      </c>
      <c r="C33" s="100">
        <f>VLOOKUP(A33,ManoObra[],8,FALSE)</f>
        <v>0</v>
      </c>
      <c r="D33" s="87">
        <f>+FP!E27</f>
        <v>0</v>
      </c>
      <c r="E33" s="87"/>
      <c r="F33" s="106">
        <f>F18</f>
        <v>0</v>
      </c>
      <c r="G33" s="86" t="e">
        <f>ROUND(C33*D33/F33,0)</f>
        <v>#DIV/0!</v>
      </c>
    </row>
    <row r="34" spans="1:7" ht="14.5">
      <c r="A34" s="135"/>
      <c r="B34" s="105"/>
      <c r="C34" s="100"/>
      <c r="D34" s="87"/>
      <c r="E34" s="87"/>
      <c r="F34" s="80"/>
      <c r="G34" s="86"/>
    </row>
    <row r="35" spans="1:7" ht="13">
      <c r="D35" s="82"/>
      <c r="E35" s="82"/>
      <c r="F35" s="96" t="s">
        <v>559</v>
      </c>
      <c r="G35" s="110" t="e">
        <f>SUM(G32:G34)</f>
        <v>#DIV/0!</v>
      </c>
    </row>
    <row r="36" spans="1:7" ht="13">
      <c r="D36" s="82"/>
      <c r="E36" s="82"/>
      <c r="G36" s="90"/>
    </row>
    <row r="37" spans="1:7" ht="12.75" customHeight="1">
      <c r="B37" s="82"/>
      <c r="D37" s="503" t="s">
        <v>569</v>
      </c>
      <c r="E37" s="505"/>
      <c r="F37" s="504"/>
      <c r="G37" s="101" t="e">
        <f>G14+G21+G28+G35</f>
        <v>#DIV/0!</v>
      </c>
    </row>
  </sheetData>
  <mergeCells count="3">
    <mergeCell ref="B1:G1"/>
    <mergeCell ref="B4:E4"/>
    <mergeCell ref="D37:F37"/>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482D3-2AF5-4107-85E5-617798313A5A}">
  <sheetPr>
    <tabColor theme="4" tint="0.59999389629810485"/>
    <pageSetUpPr fitToPage="1"/>
  </sheetPr>
  <dimension ref="A1:G37"/>
  <sheetViews>
    <sheetView showGridLines="0" view="pageBreakPreview" zoomScale="80" zoomScaleNormal="120" zoomScaleSheetLayoutView="80" workbookViewId="0">
      <selection activeCell="A4" sqref="A4:A36"/>
    </sheetView>
  </sheetViews>
  <sheetFormatPr baseColWidth="10" defaultColWidth="11.453125" defaultRowHeight="12.5"/>
  <cols>
    <col min="1" max="1" width="11.453125" style="64"/>
    <col min="2" max="2" width="48.26953125" style="64" customWidth="1"/>
    <col min="3" max="3" width="11.453125" style="64"/>
    <col min="4" max="5" width="11.7265625" style="64" customWidth="1"/>
    <col min="6" max="6" width="15" style="64" customWidth="1"/>
    <col min="7" max="7" width="15.26953125" style="64" customWidth="1"/>
    <col min="8" max="8" width="6.26953125" style="64" customWidth="1"/>
    <col min="9" max="9" width="11.453125" style="64"/>
    <col min="10" max="10" width="11.7265625" style="64" bestFit="1" customWidth="1"/>
    <col min="11" max="16384" width="11.453125" style="64"/>
  </cols>
  <sheetData>
    <row r="1" spans="1:7" ht="18.75" customHeight="1">
      <c r="B1" s="499" t="str">
        <f>+'PRESUPUESTO GENERAL SISFV'!A1</f>
        <v>IMPLEMENTACIÓN DE SOLUCIONES ENERGÉTICAS SOSTENIBLES CON FUENTES NO CONVENCIONALES PARA LAS  COMUNIDADES RURALES DEL MUNICIPIO CARTAGENA DEL CHAIRÁ, DEPARTAMENTO DEL CAQUETÁ</v>
      </c>
      <c r="C1" s="499"/>
      <c r="D1" s="499"/>
      <c r="E1" s="499"/>
      <c r="F1" s="499"/>
      <c r="G1" s="499"/>
    </row>
    <row r="3" spans="1:7" ht="12.75" customHeight="1">
      <c r="B3" s="65" t="s">
        <v>556</v>
      </c>
      <c r="C3" s="66" t="str">
        <f>+'PRESUPUESTO GENERAL SISFV'!A16</f>
        <v>1.12</v>
      </c>
      <c r="D3" s="66"/>
      <c r="E3" s="66"/>
      <c r="F3" s="66"/>
      <c r="G3" s="67" t="s">
        <v>557</v>
      </c>
    </row>
    <row r="4" spans="1:7" ht="61.9" customHeight="1">
      <c r="B4" s="508" t="str">
        <f>+'PRESUPUESTO GENERAL SISFV'!B16</f>
        <v>Sistema de puesta a tierra  Instalacion Tipo II con una varilla de cobre 5/8" x 2,4m, bajante en cable de cobre desnudo temple duro o verde Nº 2, con soldadura exotérmica y tratamiento de suelos, caja de inspección de 30 x 30 cm.</v>
      </c>
      <c r="C4" s="509"/>
      <c r="D4" s="509"/>
      <c r="E4" s="510"/>
      <c r="G4" s="68" t="str">
        <f>+'PRESUPUESTO GENERAL SISFV'!C16</f>
        <v>UN</v>
      </c>
    </row>
    <row r="5" spans="1:7" ht="13">
      <c r="B5" s="69"/>
      <c r="G5" s="70"/>
    </row>
    <row r="6" spans="1:7" ht="13">
      <c r="B6" s="71" t="s">
        <v>558</v>
      </c>
    </row>
    <row r="7" spans="1:7" ht="13">
      <c r="A7" s="134" t="s">
        <v>204</v>
      </c>
      <c r="B7" s="72" t="s">
        <v>97</v>
      </c>
      <c r="C7" s="73" t="s">
        <v>364</v>
      </c>
      <c r="D7" s="73" t="s">
        <v>126</v>
      </c>
      <c r="E7" s="73" t="s">
        <v>483</v>
      </c>
      <c r="F7" s="73" t="s">
        <v>365</v>
      </c>
      <c r="G7" s="73" t="s">
        <v>366</v>
      </c>
    </row>
    <row r="8" spans="1:7" ht="14.5">
      <c r="A8" s="135">
        <v>68</v>
      </c>
      <c r="B8" s="104" t="str">
        <f>VLOOKUP(A8,Materiales3[],3,FALSE)</f>
        <v>Varilla de cobre 5/8 x 2.4 m</v>
      </c>
      <c r="C8" s="75" t="str">
        <f>VLOOKUP(A8,Materiales3[],4,FALSE)</f>
        <v>UN</v>
      </c>
      <c r="D8" s="75">
        <v>1</v>
      </c>
      <c r="E8" s="75">
        <f>VLOOKUP(A8,Materiales3[],5,FALSE)*D8</f>
        <v>3.07</v>
      </c>
      <c r="F8" s="77">
        <f>VLOOKUP(A8,Materiales3[],6,FALSE)</f>
        <v>0</v>
      </c>
      <c r="G8" s="77">
        <f>D8*F8</f>
        <v>0</v>
      </c>
    </row>
    <row r="9" spans="1:7" ht="14.5">
      <c r="A9" s="135">
        <v>72</v>
      </c>
      <c r="B9" s="104" t="str">
        <f>VLOOKUP(A9,Materiales3[],3,FALSE)</f>
        <v>Caja de inspección 30x30 cm con tapa</v>
      </c>
      <c r="C9" s="75" t="str">
        <f>VLOOKUP(A9,Materiales3[],4,FALSE)</f>
        <v>UN</v>
      </c>
      <c r="D9" s="75">
        <v>1</v>
      </c>
      <c r="E9" s="75">
        <f>VLOOKUP(A9,Materiales3[],5,FALSE)*D9</f>
        <v>4</v>
      </c>
      <c r="F9" s="77">
        <f>VLOOKUP(A9,Materiales3[],6,FALSE)</f>
        <v>0</v>
      </c>
      <c r="G9" s="77">
        <f t="shared" ref="G9:G13" si="0">D9*F9</f>
        <v>0</v>
      </c>
    </row>
    <row r="10" spans="1:7" ht="14.5">
      <c r="A10" s="135">
        <v>24</v>
      </c>
      <c r="B10" s="104" t="str">
        <f>VLOOKUP(A10,Materiales3[],3,FALSE)</f>
        <v>Borna para ponchar varios calibres y terminales</v>
      </c>
      <c r="C10" s="75" t="str">
        <f>VLOOKUP(A10,Materiales3[],4,FALSE)</f>
        <v>UN</v>
      </c>
      <c r="D10" s="75">
        <v>2</v>
      </c>
      <c r="E10" s="75">
        <f>VLOOKUP(A10,Materiales3[],5,FALSE)*D10</f>
        <v>1.6E-2</v>
      </c>
      <c r="F10" s="77">
        <f>VLOOKUP(A10,Materiales3[],6,FALSE)</f>
        <v>0</v>
      </c>
      <c r="G10" s="77">
        <f t="shared" si="0"/>
        <v>0</v>
      </c>
    </row>
    <row r="11" spans="1:7" ht="14.5">
      <c r="A11" s="135">
        <v>69</v>
      </c>
      <c r="B11" s="104" t="str">
        <f>VLOOKUP(A11,Materiales3[],3,FALSE)</f>
        <v>Soldadura exotermina 90 gr</v>
      </c>
      <c r="C11" s="75" t="str">
        <f>VLOOKUP(A11,Materiales3[],4,FALSE)</f>
        <v>UN</v>
      </c>
      <c r="D11" s="75">
        <v>2</v>
      </c>
      <c r="E11" s="75">
        <f>VLOOKUP(A11,Materiales3[],5,FALSE)*D11</f>
        <v>0.18</v>
      </c>
      <c r="F11" s="77">
        <f>VLOOKUP(A11,Materiales3[],6,FALSE)</f>
        <v>0</v>
      </c>
      <c r="G11" s="77">
        <f t="shared" si="0"/>
        <v>0</v>
      </c>
    </row>
    <row r="12" spans="1:7" ht="14.5">
      <c r="A12" s="135">
        <v>238</v>
      </c>
      <c r="B12" s="104" t="str">
        <f>VLOOKUP(A12,Materiales3[],3,FALSE)</f>
        <v>Cable Cu THHN 2 AWG</v>
      </c>
      <c r="C12" s="75" t="str">
        <f>VLOOKUP(A12,Materiales3[],4,FALSE)</f>
        <v>ML</v>
      </c>
      <c r="D12" s="75">
        <f>3+1</f>
        <v>4</v>
      </c>
      <c r="E12" s="75">
        <f>VLOOKUP(A12,Materiales3[],5,FALSE)*D12</f>
        <v>1.4</v>
      </c>
      <c r="F12" s="77">
        <f>VLOOKUP(A12,Materiales3[],6,FALSE)</f>
        <v>0</v>
      </c>
      <c r="G12" s="77">
        <f t="shared" si="0"/>
        <v>0</v>
      </c>
    </row>
    <row r="13" spans="1:7" ht="14.5">
      <c r="A13" s="135">
        <v>245</v>
      </c>
      <c r="B13" s="104" t="str">
        <f>VLOOKUP(A13,Materiales3[],3,FALSE)</f>
        <v>Bentonita mejorada</v>
      </c>
      <c r="C13" s="75" t="str">
        <f>VLOOKUP(A13,Materiales3[],4,FALSE)</f>
        <v>BULTO</v>
      </c>
      <c r="D13" s="75">
        <v>0.5</v>
      </c>
      <c r="E13" s="75">
        <f>VLOOKUP(A13,Materiales3[],5,FALSE)*D13</f>
        <v>25</v>
      </c>
      <c r="F13" s="77">
        <f>VLOOKUP(A13,Materiales3[],6,FALSE)</f>
        <v>0</v>
      </c>
      <c r="G13" s="77">
        <f t="shared" si="0"/>
        <v>0</v>
      </c>
    </row>
    <row r="14" spans="1:7" ht="13">
      <c r="D14" s="82"/>
      <c r="E14" s="82"/>
      <c r="F14" s="83" t="s">
        <v>559</v>
      </c>
      <c r="G14" s="84">
        <f>SUM(G8:G13)</f>
        <v>0</v>
      </c>
    </row>
    <row r="15" spans="1:7">
      <c r="G15" s="108"/>
    </row>
    <row r="16" spans="1:7" ht="13">
      <c r="B16" s="85" t="s">
        <v>560</v>
      </c>
      <c r="G16" s="109"/>
    </row>
    <row r="17" spans="1:7" ht="13">
      <c r="A17" s="134" t="s">
        <v>204</v>
      </c>
      <c r="B17" s="72" t="s">
        <v>97</v>
      </c>
      <c r="C17" s="73" t="s">
        <v>2</v>
      </c>
      <c r="D17" s="73" t="s">
        <v>561</v>
      </c>
      <c r="E17" s="73"/>
      <c r="F17" s="73" t="s">
        <v>99</v>
      </c>
      <c r="G17" s="73" t="s">
        <v>366</v>
      </c>
    </row>
    <row r="18" spans="1:7" ht="14.5">
      <c r="A18" s="135">
        <v>1</v>
      </c>
      <c r="B18" s="78" t="str">
        <f>VLOOKUP(A18,Equipoyherramienta[],2,FALSE)</f>
        <v>Herramienta menor</v>
      </c>
      <c r="C18" s="79" t="str">
        <f>VLOOKUP(A18,Equipoyherramienta[],3,FALSE)</f>
        <v>UN</v>
      </c>
      <c r="D18" s="86">
        <f>VLOOKUP(A18,Equipoyherramienta[],4,FALSE)</f>
        <v>0</v>
      </c>
      <c r="E18" s="86"/>
      <c r="F18" s="106">
        <f>+RENDIMIENTOS!C45</f>
        <v>0</v>
      </c>
      <c r="G18" s="86" t="e">
        <f>ROUND(D18/F18,0)</f>
        <v>#DIV/0!</v>
      </c>
    </row>
    <row r="19" spans="1:7">
      <c r="B19" s="78"/>
      <c r="C19" s="79"/>
      <c r="D19" s="81"/>
      <c r="E19" s="81"/>
      <c r="F19" s="87"/>
      <c r="G19" s="88"/>
    </row>
    <row r="20" spans="1:7">
      <c r="B20" s="78"/>
      <c r="C20" s="79"/>
      <c r="D20" s="81"/>
      <c r="E20" s="81"/>
      <c r="F20" s="87"/>
      <c r="G20" s="88"/>
    </row>
    <row r="21" spans="1:7" ht="13">
      <c r="D21" s="82"/>
      <c r="E21" s="82"/>
      <c r="F21" s="83" t="s">
        <v>559</v>
      </c>
      <c r="G21" s="84" t="e">
        <f>SUM(G18:G20)</f>
        <v>#DIV/0!</v>
      </c>
    </row>
    <row r="22" spans="1:7" ht="13">
      <c r="D22" s="82"/>
      <c r="E22" s="82"/>
      <c r="F22" s="82"/>
      <c r="G22" s="89"/>
    </row>
    <row r="23" spans="1:7" ht="13">
      <c r="B23" s="71" t="s">
        <v>562</v>
      </c>
      <c r="G23" s="90"/>
    </row>
    <row r="24" spans="1:7" ht="13">
      <c r="A24" s="134" t="s">
        <v>204</v>
      </c>
      <c r="B24" s="72" t="s">
        <v>97</v>
      </c>
      <c r="C24" s="73" t="s">
        <v>364</v>
      </c>
      <c r="D24" s="73" t="s">
        <v>483</v>
      </c>
      <c r="E24" s="73"/>
      <c r="F24" s="73" t="s">
        <v>570</v>
      </c>
      <c r="G24" s="91" t="s">
        <v>366</v>
      </c>
    </row>
    <row r="25" spans="1:7" ht="50">
      <c r="A25" s="135">
        <v>6</v>
      </c>
      <c r="B25" s="92" t="str">
        <f>VLOOKUP(A25,Transp.[],2,FALSE)</f>
        <v>Carga terrestre desde Bogota hasta Usuario, incluye cargues, descargues, cruces de río, transporte semoviente, transporte fluvia, transporte en vehículo de carga pesada y liviano y cualquier otro tranposte.</v>
      </c>
      <c r="C25" s="75" t="s">
        <v>571</v>
      </c>
      <c r="D25" s="76">
        <f>SUM(E8:E13)</f>
        <v>33.665999999999997</v>
      </c>
      <c r="E25" s="76"/>
      <c r="F25" s="94">
        <f>VLOOKUP(A25,Transp.[],6,FALSE)</f>
        <v>0</v>
      </c>
      <c r="G25" s="94">
        <f>D25*F25</f>
        <v>0</v>
      </c>
    </row>
    <row r="26" spans="1:7" ht="13.15" customHeight="1">
      <c r="A26" s="135"/>
      <c r="B26" s="92"/>
      <c r="C26" s="75"/>
      <c r="D26" s="76"/>
      <c r="E26" s="76"/>
      <c r="F26" s="94"/>
      <c r="G26" s="94"/>
    </row>
    <row r="27" spans="1:7" ht="13.15" customHeight="1">
      <c r="A27" s="135"/>
      <c r="B27" s="92"/>
      <c r="C27" s="75"/>
      <c r="D27" s="76"/>
      <c r="E27" s="76"/>
      <c r="F27" s="94"/>
      <c r="G27" s="94"/>
    </row>
    <row r="28" spans="1:7" ht="13">
      <c r="D28" s="82"/>
      <c r="E28" s="82"/>
      <c r="F28" s="96" t="s">
        <v>559</v>
      </c>
      <c r="G28" s="84">
        <f>SUM(G25:G27)</f>
        <v>0</v>
      </c>
    </row>
    <row r="30" spans="1:7" ht="13">
      <c r="B30" s="71" t="s">
        <v>566</v>
      </c>
      <c r="D30" s="97"/>
      <c r="E30" s="97"/>
      <c r="F30" s="98"/>
      <c r="G30" s="90"/>
    </row>
    <row r="31" spans="1:7" s="82" customFormat="1" ht="13">
      <c r="A31" s="134" t="s">
        <v>204</v>
      </c>
      <c r="B31" s="73" t="s">
        <v>97</v>
      </c>
      <c r="C31" s="73" t="s">
        <v>567</v>
      </c>
      <c r="D31" s="73" t="s">
        <v>568</v>
      </c>
      <c r="E31" s="73"/>
      <c r="F31" s="73" t="s">
        <v>99</v>
      </c>
      <c r="G31" s="91" t="s">
        <v>366</v>
      </c>
    </row>
    <row r="32" spans="1:7" ht="14.5">
      <c r="A32" s="135">
        <v>1</v>
      </c>
      <c r="B32" s="99" t="str">
        <f>VLOOKUP(A32,ManoObra[],2,FALSE)</f>
        <v>Electricista</v>
      </c>
      <c r="C32" s="100">
        <f>VLOOKUP(A32,ManoObra[],8,FALSE)</f>
        <v>0</v>
      </c>
      <c r="D32" s="87">
        <f>+FP!E27</f>
        <v>0</v>
      </c>
      <c r="E32" s="87"/>
      <c r="F32" s="106">
        <f>F18</f>
        <v>0</v>
      </c>
      <c r="G32" s="86" t="e">
        <f>ROUND(C32*D32/F32,0)</f>
        <v>#DIV/0!</v>
      </c>
    </row>
    <row r="33" spans="1:7" ht="14.5">
      <c r="A33" s="135">
        <v>2</v>
      </c>
      <c r="B33" s="99" t="str">
        <f>VLOOKUP(A33,ManoObra[],2,FALSE)</f>
        <v>Ayudante</v>
      </c>
      <c r="C33" s="100">
        <f>VLOOKUP(A33,ManoObra[],8,FALSE)</f>
        <v>0</v>
      </c>
      <c r="D33" s="87">
        <f>+FP!E27</f>
        <v>0</v>
      </c>
      <c r="E33" s="87"/>
      <c r="F33" s="106">
        <f>F18</f>
        <v>0</v>
      </c>
      <c r="G33" s="86" t="e">
        <f>ROUND(C33*D33/F33,0)</f>
        <v>#DIV/0!</v>
      </c>
    </row>
    <row r="34" spans="1:7" ht="14.5">
      <c r="A34" s="135"/>
      <c r="B34" s="105"/>
      <c r="C34" s="100"/>
      <c r="D34" s="87"/>
      <c r="E34" s="87"/>
      <c r="F34" s="80"/>
      <c r="G34" s="86"/>
    </row>
    <row r="35" spans="1:7" ht="13">
      <c r="D35" s="82"/>
      <c r="E35" s="82"/>
      <c r="F35" s="96" t="s">
        <v>559</v>
      </c>
      <c r="G35" s="110" t="e">
        <f>SUM(G32:G34)</f>
        <v>#DIV/0!</v>
      </c>
    </row>
    <row r="36" spans="1:7" ht="13">
      <c r="D36" s="82"/>
      <c r="E36" s="82"/>
      <c r="G36" s="90"/>
    </row>
    <row r="37" spans="1:7" ht="12.75" customHeight="1">
      <c r="B37" s="82"/>
      <c r="D37" s="503" t="s">
        <v>569</v>
      </c>
      <c r="E37" s="505"/>
      <c r="F37" s="504"/>
      <c r="G37" s="101" t="e">
        <f>G14+G21+G28+G35</f>
        <v>#DIV/0!</v>
      </c>
    </row>
  </sheetData>
  <mergeCells count="3">
    <mergeCell ref="B1:G1"/>
    <mergeCell ref="B4:E4"/>
    <mergeCell ref="D37:F37"/>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58A30-257B-4A80-ADDF-E275FA26920D}">
  <sheetPr>
    <tabColor theme="4" tint="0.59999389629810485"/>
    <pageSetUpPr fitToPage="1"/>
  </sheetPr>
  <dimension ref="A1:G80"/>
  <sheetViews>
    <sheetView showGridLines="0" view="pageBreakPreview" zoomScale="80" zoomScaleNormal="120" zoomScaleSheetLayoutView="80" workbookViewId="0">
      <selection activeCell="F74" sqref="F74"/>
    </sheetView>
  </sheetViews>
  <sheetFormatPr baseColWidth="10" defaultColWidth="11.453125" defaultRowHeight="12.5"/>
  <cols>
    <col min="1" max="1" width="11.453125" style="64"/>
    <col min="2" max="2" width="48.26953125" style="64" customWidth="1"/>
    <col min="3" max="3" width="11.453125" style="64"/>
    <col min="4" max="5" width="11.7265625" style="64" customWidth="1"/>
    <col min="6" max="6" width="15" style="64" customWidth="1"/>
    <col min="7" max="7" width="15.26953125" style="64" customWidth="1"/>
    <col min="8" max="8" width="6.26953125" style="64" customWidth="1"/>
    <col min="9" max="9" width="11.453125" style="64"/>
    <col min="10" max="10" width="11.7265625" style="64" bestFit="1" customWidth="1"/>
    <col min="11" max="11" width="11.453125" style="64"/>
    <col min="12" max="12" width="26.81640625" style="64" customWidth="1"/>
    <col min="13" max="16384" width="11.453125" style="64"/>
  </cols>
  <sheetData>
    <row r="1" spans="1:7" ht="18.75" customHeight="1">
      <c r="B1" s="499" t="str">
        <f>+'PRESUPUESTO GENERAL SISFV'!A1</f>
        <v>IMPLEMENTACIÓN DE SOLUCIONES ENERGÉTICAS SOSTENIBLES CON FUENTES NO CONVENCIONALES PARA LAS  COMUNIDADES RURALES DEL MUNICIPIO CARTAGENA DEL CHAIRÁ, DEPARTAMENTO DEL CAQUETÁ</v>
      </c>
      <c r="C1" s="499"/>
      <c r="D1" s="499"/>
      <c r="E1" s="499"/>
      <c r="F1" s="499"/>
      <c r="G1" s="499"/>
    </row>
    <row r="3" spans="1:7" ht="12.75" customHeight="1">
      <c r="B3" s="65" t="s">
        <v>556</v>
      </c>
      <c r="C3" s="66" t="str">
        <f>+'PRESUPUESTO GENERAL SISFV'!A18</f>
        <v>2.1</v>
      </c>
      <c r="D3" s="66"/>
      <c r="E3" s="66"/>
      <c r="F3" s="66"/>
      <c r="G3" s="67" t="s">
        <v>557</v>
      </c>
    </row>
    <row r="4" spans="1:7" ht="61.9" customHeight="1">
      <c r="B4" s="508" t="str">
        <f>+'PRESUPUESTO GENERAL SISFV'!B18</f>
        <v>Suministro e instalación de poste reforzado en fibra de vidrio de h=4m, 510kgf. contiene: tapa en la cima y base, soporte metálico galvanizado fijo para 3 paneles solares y cimentación en concreto reforzado según diseño (incluye excavacion),</v>
      </c>
      <c r="C4" s="509"/>
      <c r="D4" s="509"/>
      <c r="E4" s="510"/>
      <c r="G4" s="68" t="str">
        <f>+'PRESUPUESTO GENERAL SISFV'!C18</f>
        <v>UN</v>
      </c>
    </row>
    <row r="5" spans="1:7" ht="13">
      <c r="B5" s="69"/>
      <c r="G5" s="70"/>
    </row>
    <row r="6" spans="1:7" ht="13">
      <c r="B6" s="71" t="s">
        <v>558</v>
      </c>
    </row>
    <row r="7" spans="1:7" ht="13">
      <c r="A7" s="134" t="s">
        <v>204</v>
      </c>
      <c r="B7" s="72" t="s">
        <v>97</v>
      </c>
      <c r="C7" s="73" t="s">
        <v>364</v>
      </c>
      <c r="D7" s="73" t="s">
        <v>126</v>
      </c>
      <c r="E7" s="73" t="s">
        <v>483</v>
      </c>
      <c r="F7" s="73" t="s">
        <v>365</v>
      </c>
      <c r="G7" s="73" t="s">
        <v>366</v>
      </c>
    </row>
    <row r="8" spans="1:7" ht="14.5">
      <c r="A8" s="261"/>
      <c r="B8" s="262" t="s">
        <v>572</v>
      </c>
      <c r="C8" s="75"/>
      <c r="D8" s="75"/>
      <c r="E8" s="75"/>
      <c r="F8" s="77"/>
      <c r="G8" s="77"/>
    </row>
    <row r="9" spans="1:7" ht="25">
      <c r="A9" s="135">
        <v>91</v>
      </c>
      <c r="B9" s="104" t="str">
        <f>VLOOKUP(A9,Materiales3[],3,FALSE)</f>
        <v>Agregado fino para concreto (tamaño máximo 4,75mm - arena natural o trituración de roca, gravas, y/o escorias)</v>
      </c>
      <c r="C9" s="75" t="str">
        <f>VLOOKUP(A9,Materiales3[],4,FALSE)</f>
        <v>m3</v>
      </c>
      <c r="D9" s="75">
        <f>+'Memoria Civil'!C38</f>
        <v>0.19040000000000004</v>
      </c>
      <c r="E9" s="75">
        <f>VLOOKUP(A9,Materiales3[],5,FALSE)*D9</f>
        <v>304.64000000000004</v>
      </c>
      <c r="F9" s="77">
        <f>VLOOKUP(A9,Materiales3[],6,FALSE)</f>
        <v>0</v>
      </c>
      <c r="G9" s="77">
        <f t="shared" ref="G9:G13" si="0">D9*F9</f>
        <v>0</v>
      </c>
    </row>
    <row r="10" spans="1:7" ht="25">
      <c r="A10" s="135">
        <v>90</v>
      </c>
      <c r="B10" s="104" t="str">
        <f>VLOOKUP(A10,Materiales3[],3,FALSE)</f>
        <v>Agregado grueso (grava, grava triturada y/o roca triturada)</v>
      </c>
      <c r="C10" s="75" t="str">
        <f>VLOOKUP(A10,Materiales3[],4,FALSE)</f>
        <v>m3</v>
      </c>
      <c r="D10" s="75">
        <f>+'Memoria Civil'!C39</f>
        <v>0.28560000000000002</v>
      </c>
      <c r="E10" s="75">
        <f>VLOOKUP(A10,Materiales3[],5,FALSE)*D10</f>
        <v>456.96000000000004</v>
      </c>
      <c r="F10" s="77">
        <f>VLOOKUP(A10,Materiales3[],6,FALSE)</f>
        <v>0</v>
      </c>
      <c r="G10" s="77">
        <f t="shared" si="0"/>
        <v>0</v>
      </c>
    </row>
    <row r="11" spans="1:7" ht="14.5">
      <c r="A11" s="135">
        <v>89</v>
      </c>
      <c r="B11" s="104" t="str">
        <f>VLOOKUP(A11,Materiales3[],3,FALSE)</f>
        <v>Agua</v>
      </c>
      <c r="C11" s="75" t="str">
        <f>VLOOKUP(A11,Materiales3[],4,FALSE)</f>
        <v>L</v>
      </c>
      <c r="D11" s="75">
        <f>+'Memoria Civil'!C40</f>
        <v>85</v>
      </c>
      <c r="E11" s="75">
        <f>VLOOKUP(A11,Materiales3[],5,FALSE)*D11</f>
        <v>85</v>
      </c>
      <c r="F11" s="77">
        <f>VLOOKUP(A11,Materiales3[],6,FALSE)</f>
        <v>0</v>
      </c>
      <c r="G11" s="77">
        <f t="shared" si="0"/>
        <v>0</v>
      </c>
    </row>
    <row r="12" spans="1:7" ht="14.5">
      <c r="A12" s="135">
        <v>92</v>
      </c>
      <c r="B12" s="104" t="str">
        <f>VLOOKUP(A12,Materiales3[],3,FALSE)</f>
        <v>Cemento hidráulico tipo ART</v>
      </c>
      <c r="C12" s="75" t="str">
        <f>VLOOKUP(A12,Materiales3[],4,FALSE)</f>
        <v>kg</v>
      </c>
      <c r="D12" s="75">
        <f>+'Memoria Civil'!C37</f>
        <v>119.00000000000001</v>
      </c>
      <c r="E12" s="75">
        <f>VLOOKUP(A12,Materiales3[],5,FALSE)*D12</f>
        <v>119.00000000000001</v>
      </c>
      <c r="F12" s="77">
        <f>VLOOKUP(A12,Materiales3[],6,FALSE)</f>
        <v>0</v>
      </c>
      <c r="G12" s="77">
        <f t="shared" si="0"/>
        <v>0</v>
      </c>
    </row>
    <row r="13" spans="1:7" ht="14.5">
      <c r="A13" s="135"/>
      <c r="B13" s="104" t="s">
        <v>573</v>
      </c>
      <c r="C13" s="75"/>
      <c r="D13" s="75">
        <v>0.05</v>
      </c>
      <c r="E13" s="75">
        <f>+(E9+E10+E11+E12)*D13</f>
        <v>48.280000000000008</v>
      </c>
      <c r="F13" s="77">
        <f>+(G9+G10+G11+G12)</f>
        <v>0</v>
      </c>
      <c r="G13" s="77">
        <f t="shared" si="0"/>
        <v>0</v>
      </c>
    </row>
    <row r="14" spans="1:7" ht="14.5">
      <c r="A14" s="135"/>
      <c r="B14" s="262" t="s">
        <v>574</v>
      </c>
      <c r="C14" s="75"/>
      <c r="D14" s="75"/>
      <c r="E14" s="75"/>
      <c r="F14" s="77"/>
      <c r="G14" s="77"/>
    </row>
    <row r="15" spans="1:7" ht="14.5">
      <c r="A15" s="135">
        <v>150</v>
      </c>
      <c r="B15" s="104" t="str">
        <f>VLOOKUP(A15,Materiales3[],3,FALSE)</f>
        <v>Malla electrosoldada 150x150x5mm ASTM 706</v>
      </c>
      <c r="C15" s="75" t="str">
        <f>VLOOKUP(A15,Materiales3[],4,FALSE)</f>
        <v>kg</v>
      </c>
      <c r="D15" s="75">
        <f>+'Memoria Civil'!G33</f>
        <v>5.9</v>
      </c>
      <c r="E15" s="75">
        <f>VLOOKUP(A15,Materiales3[],5,FALSE)*D15</f>
        <v>5.9</v>
      </c>
      <c r="F15" s="77">
        <f>VLOOKUP(A15,Materiales3[],6,FALSE)</f>
        <v>0</v>
      </c>
      <c r="G15" s="77">
        <f t="shared" ref="G15:G16" si="1">D15*F15</f>
        <v>0</v>
      </c>
    </row>
    <row r="16" spans="1:7" ht="14.5">
      <c r="A16" s="135"/>
      <c r="B16" s="104" t="s">
        <v>575</v>
      </c>
      <c r="C16" s="75"/>
      <c r="D16" s="75">
        <v>0.15</v>
      </c>
      <c r="E16" s="75">
        <f>+(E15)*D16</f>
        <v>0.88500000000000001</v>
      </c>
      <c r="F16" s="77">
        <f>+(G15)</f>
        <v>0</v>
      </c>
      <c r="G16" s="77">
        <f t="shared" si="1"/>
        <v>0</v>
      </c>
    </row>
    <row r="17" spans="1:7" ht="14.5">
      <c r="A17" s="135"/>
      <c r="B17" s="262" t="s">
        <v>487</v>
      </c>
      <c r="C17" s="75"/>
      <c r="D17" s="75"/>
      <c r="E17" s="75"/>
      <c r="F17" s="77"/>
      <c r="G17" s="77"/>
    </row>
    <row r="18" spans="1:7" ht="14.5">
      <c r="A18" s="135">
        <v>379</v>
      </c>
      <c r="B18" s="104" t="str">
        <f>VLOOKUP(A18,Materiales3[],3,FALSE)</f>
        <v xml:space="preserve">Angulo L ASTM A572 Gr. 50 galvanizado 1/4"x2" </v>
      </c>
      <c r="C18" s="75" t="str">
        <f>VLOOKUP(A18,Materiales3[],4,FALSE)</f>
        <v>kg</v>
      </c>
      <c r="D18" s="75">
        <f>+'Memoria Civil'!F44</f>
        <v>38</v>
      </c>
      <c r="E18" s="75">
        <f>VLOOKUP(A18,Materiales3[],5,FALSE)*D18</f>
        <v>38</v>
      </c>
      <c r="F18" s="77">
        <f>VLOOKUP(A18,Materiales3[],6,FALSE)</f>
        <v>0</v>
      </c>
      <c r="G18" s="77">
        <f t="shared" ref="G18:G27" si="2">D18*F18</f>
        <v>0</v>
      </c>
    </row>
    <row r="19" spans="1:7" ht="14.5">
      <c r="A19" s="135">
        <v>371</v>
      </c>
      <c r="B19" s="104" t="str">
        <f>VLOOKUP(A19,Materiales3[],3,FALSE)</f>
        <v>Angulo L ASTM A572 Gr. 50 galvanizado 1/8"x1 1/2"</v>
      </c>
      <c r="C19" s="75" t="str">
        <f>VLOOKUP(A19,Materiales3[],4,FALSE)</f>
        <v>kg</v>
      </c>
      <c r="D19" s="75">
        <f>+'Memoria Civil'!F45</f>
        <v>5.3070000000000004</v>
      </c>
      <c r="E19" s="75">
        <f>VLOOKUP(A19,Materiales3[],5,FALSE)*D19</f>
        <v>5.3070000000000004</v>
      </c>
      <c r="F19" s="77">
        <f>VLOOKUP(A19,Materiales3[],6,FALSE)</f>
        <v>0</v>
      </c>
      <c r="G19" s="77">
        <f t="shared" si="2"/>
        <v>0</v>
      </c>
    </row>
    <row r="20" spans="1:7" ht="14.5">
      <c r="A20" s="135">
        <v>466</v>
      </c>
      <c r="B20" s="104" t="str">
        <f>VLOOKUP(A20,Materiales3[],3,FALSE)</f>
        <v xml:space="preserve">Angulo L ASTM A572 Gr. 50 galvanizado 1/4"x2 1/2" </v>
      </c>
      <c r="C20" s="75" t="str">
        <f>VLOOKUP(A20,Materiales3[],4,FALSE)</f>
        <v>kg</v>
      </c>
      <c r="D20" s="75">
        <f>+'Memoria Civil'!F46</f>
        <v>35.379999999999995</v>
      </c>
      <c r="E20" s="75">
        <f>VLOOKUP(A20,Materiales3[],5,FALSE)*D20</f>
        <v>35.379999999999995</v>
      </c>
      <c r="F20" s="77">
        <f>VLOOKUP(A20,Materiales3[],6,FALSE)</f>
        <v>0</v>
      </c>
      <c r="G20" s="77">
        <f t="shared" si="2"/>
        <v>0</v>
      </c>
    </row>
    <row r="21" spans="1:7" ht="14.5">
      <c r="A21" s="135">
        <v>466</v>
      </c>
      <c r="B21" s="104" t="str">
        <f>VLOOKUP(A21,Materiales3[],3,FALSE)</f>
        <v xml:space="preserve">Angulo L ASTM A572 Gr. 50 galvanizado 1/4"x2 1/2" </v>
      </c>
      <c r="C21" s="75" t="str">
        <f>VLOOKUP(A21,Materiales3[],4,FALSE)</f>
        <v>kg</v>
      </c>
      <c r="D21" s="75">
        <f>+'Memoria Civil'!F47</f>
        <v>22.448</v>
      </c>
      <c r="E21" s="75">
        <f>VLOOKUP(A21,Materiales3[],5,FALSE)*D21</f>
        <v>22.448</v>
      </c>
      <c r="F21" s="77">
        <f>VLOOKUP(A21,Materiales3[],6,FALSE)</f>
        <v>0</v>
      </c>
      <c r="G21" s="77">
        <f t="shared" si="2"/>
        <v>0</v>
      </c>
    </row>
    <row r="22" spans="1:7" ht="14.5">
      <c r="A22" s="135">
        <v>373</v>
      </c>
      <c r="B22" s="104" t="str">
        <f>VLOOKUP(A22,Materiales3[],3,FALSE)</f>
        <v>Platina ASTM A36 300x300, e=9,53mm</v>
      </c>
      <c r="C22" s="75" t="str">
        <f>VLOOKUP(A22,Materiales3[],4,FALSE)</f>
        <v>m2</v>
      </c>
      <c r="D22" s="75">
        <f>0.3*0.3</f>
        <v>0.09</v>
      </c>
      <c r="E22" s="75">
        <f>VLOOKUP(A22,Materiales3[],5,FALSE)*D22</f>
        <v>6.7364999999999995</v>
      </c>
      <c r="F22" s="77">
        <f>VLOOKUP(A22,Materiales3[],6,FALSE)</f>
        <v>0</v>
      </c>
      <c r="G22" s="77">
        <f t="shared" si="2"/>
        <v>0</v>
      </c>
    </row>
    <row r="23" spans="1:7" ht="14.5">
      <c r="A23" s="135">
        <v>374</v>
      </c>
      <c r="B23" s="104" t="str">
        <f>VLOOKUP(A23,Materiales3[],3,FALSE)</f>
        <v xml:space="preserve">Platina ASTM A36 200 x 50, e=6,35mm </v>
      </c>
      <c r="C23" s="75" t="str">
        <f>VLOOKUP(A23,Materiales3[],4,FALSE)</f>
        <v>m2</v>
      </c>
      <c r="D23" s="75">
        <f>0.2*0.05*4</f>
        <v>4.0000000000000008E-2</v>
      </c>
      <c r="E23" s="75">
        <f>VLOOKUP(A23,Materiales3[],5,FALSE)*D23</f>
        <v>1.9948000000000004</v>
      </c>
      <c r="F23" s="77">
        <f>VLOOKUP(A23,Materiales3[],6,FALSE)</f>
        <v>0</v>
      </c>
      <c r="G23" s="77">
        <f t="shared" si="2"/>
        <v>0</v>
      </c>
    </row>
    <row r="24" spans="1:7" ht="14.5">
      <c r="A24" s="135">
        <v>375</v>
      </c>
      <c r="B24" s="104" t="str">
        <f>VLOOKUP(A24,Materiales3[],3,FALSE)</f>
        <v>Soldadura electrodo E7018</v>
      </c>
      <c r="C24" s="75" t="str">
        <f>VLOOKUP(A24,Materiales3[],4,FALSE)</f>
        <v>kg</v>
      </c>
      <c r="D24" s="75">
        <f>0.5</f>
        <v>0.5</v>
      </c>
      <c r="E24" s="75">
        <f>VLOOKUP(A24,Materiales3[],5,FALSE)*D24</f>
        <v>0.5</v>
      </c>
      <c r="F24" s="77">
        <f>VLOOKUP(A24,Materiales3[],6,FALSE)</f>
        <v>0</v>
      </c>
      <c r="G24" s="77">
        <f t="shared" si="2"/>
        <v>0</v>
      </c>
    </row>
    <row r="25" spans="1:7" ht="14.5">
      <c r="A25" s="135">
        <v>376</v>
      </c>
      <c r="B25" s="104" t="str">
        <f>VLOOKUP(A25,Materiales3[],3,FALSE)</f>
        <v xml:space="preserve">Perno ASTM A325 galvanizado 3/8", L=8" </v>
      </c>
      <c r="C25" s="75" t="str">
        <f>VLOOKUP(A25,Materiales3[],4,FALSE)</f>
        <v>und</v>
      </c>
      <c r="D25" s="75">
        <v>2</v>
      </c>
      <c r="E25" s="75">
        <f>VLOOKUP(A25,Materiales3[],5,FALSE)*D25</f>
        <v>1</v>
      </c>
      <c r="F25" s="77">
        <f>VLOOKUP(A25,Materiales3[],6,FALSE)</f>
        <v>0</v>
      </c>
      <c r="G25" s="77">
        <f t="shared" si="2"/>
        <v>0</v>
      </c>
    </row>
    <row r="26" spans="1:7" ht="14.5">
      <c r="A26" s="135">
        <v>377</v>
      </c>
      <c r="B26" s="104" t="str">
        <f>VLOOKUP(A26,Materiales3[],3,FALSE)</f>
        <v xml:space="preserve">Tornillo metálico galvanizado 13x38mm </v>
      </c>
      <c r="C26" s="75" t="str">
        <f>VLOOKUP(A26,Materiales3[],4,FALSE)</f>
        <v>und</v>
      </c>
      <c r="D26" s="75">
        <v>4</v>
      </c>
      <c r="E26" s="75">
        <f>VLOOKUP(A26,Materiales3[],5,FALSE)*D26</f>
        <v>0.4</v>
      </c>
      <c r="F26" s="77">
        <f>VLOOKUP(A26,Materiales3[],6,FALSE)</f>
        <v>0</v>
      </c>
      <c r="G26" s="77">
        <f t="shared" si="2"/>
        <v>0</v>
      </c>
    </row>
    <row r="27" spans="1:7" ht="30.65" customHeight="1">
      <c r="A27" s="135">
        <v>101</v>
      </c>
      <c r="B27" s="104" t="str">
        <f>VLOOKUP(A27,Materiales3[],3,FALSE)</f>
        <v xml:space="preserve">Poste en poliéster reforzado con fibra de vidrio (PRFV) ASCE 104/ASTM D4923, h=4m, 510kgf. </v>
      </c>
      <c r="C27" s="75" t="str">
        <f>VLOOKUP(A27,Materiales3[],4,FALSE)</f>
        <v>UN</v>
      </c>
      <c r="D27" s="75">
        <v>1</v>
      </c>
      <c r="E27" s="75">
        <f>VLOOKUP(A27,Materiales3[],5,FALSE)*D27</f>
        <v>21</v>
      </c>
      <c r="F27" s="77">
        <f>VLOOKUP(A27,Materiales3[],6,FALSE)</f>
        <v>0</v>
      </c>
      <c r="G27" s="77">
        <f t="shared" si="2"/>
        <v>0</v>
      </c>
    </row>
    <row r="28" spans="1:7" ht="13">
      <c r="D28" s="82"/>
      <c r="E28" s="82"/>
      <c r="F28" s="83" t="s">
        <v>559</v>
      </c>
      <c r="G28" s="84">
        <f>SUM(G8:G27)</f>
        <v>0</v>
      </c>
    </row>
    <row r="29" spans="1:7">
      <c r="G29" s="108"/>
    </row>
    <row r="30" spans="1:7" ht="13">
      <c r="B30" s="85" t="s">
        <v>560</v>
      </c>
      <c r="G30" s="109"/>
    </row>
    <row r="31" spans="1:7" ht="13">
      <c r="A31" s="134" t="s">
        <v>204</v>
      </c>
      <c r="B31" s="72" t="s">
        <v>97</v>
      </c>
      <c r="C31" s="73" t="s">
        <v>2</v>
      </c>
      <c r="D31" s="73" t="s">
        <v>561</v>
      </c>
      <c r="E31" s="73"/>
      <c r="F31" s="73" t="s">
        <v>99</v>
      </c>
      <c r="G31" s="73" t="s">
        <v>366</v>
      </c>
    </row>
    <row r="32" spans="1:7" ht="14.5">
      <c r="A32" s="135">
        <v>1</v>
      </c>
      <c r="B32" s="78" t="str">
        <f>VLOOKUP(A32,Equipoyherramienta[],2,FALSE)</f>
        <v>Herramienta menor</v>
      </c>
      <c r="C32" s="79" t="str">
        <f>VLOOKUP(A32,Equipoyherramienta[],3,FALSE)</f>
        <v>UN</v>
      </c>
      <c r="D32" s="86">
        <f>VLOOKUP(A32,Equipoyherramienta[],4,FALSE)</f>
        <v>0</v>
      </c>
      <c r="E32" s="86"/>
      <c r="F32" s="106">
        <f>+RENDIMIENTOS!C45</f>
        <v>0</v>
      </c>
      <c r="G32" s="86" t="e">
        <f>ROUND(D32/F32,0)</f>
        <v>#DIV/0!</v>
      </c>
    </row>
    <row r="33" spans="1:7">
      <c r="B33" s="78"/>
      <c r="C33" s="79"/>
      <c r="D33" s="81"/>
      <c r="E33" s="81"/>
      <c r="F33" s="87"/>
      <c r="G33" s="88"/>
    </row>
    <row r="34" spans="1:7">
      <c r="B34" s="78"/>
      <c r="C34" s="79"/>
      <c r="D34" s="81"/>
      <c r="E34" s="81"/>
      <c r="F34" s="87"/>
      <c r="G34" s="88"/>
    </row>
    <row r="35" spans="1:7" ht="13">
      <c r="D35" s="82"/>
      <c r="E35" s="82"/>
      <c r="F35" s="83" t="s">
        <v>559</v>
      </c>
      <c r="G35" s="84" t="e">
        <f>SUM(G32:G34)</f>
        <v>#DIV/0!</v>
      </c>
    </row>
    <row r="36" spans="1:7" ht="13">
      <c r="D36" s="82"/>
      <c r="E36" s="82"/>
      <c r="F36" s="82"/>
      <c r="G36" s="89"/>
    </row>
    <row r="37" spans="1:7" ht="13">
      <c r="B37" s="71" t="s">
        <v>562</v>
      </c>
      <c r="G37" s="90"/>
    </row>
    <row r="38" spans="1:7" ht="13">
      <c r="A38" s="134" t="s">
        <v>204</v>
      </c>
      <c r="B38" s="72" t="s">
        <v>97</v>
      </c>
      <c r="C38" s="73" t="s">
        <v>364</v>
      </c>
      <c r="D38" s="73" t="s">
        <v>483</v>
      </c>
      <c r="E38" s="73"/>
      <c r="F38" s="73" t="s">
        <v>570</v>
      </c>
      <c r="G38" s="91" t="s">
        <v>366</v>
      </c>
    </row>
    <row r="39" spans="1:7" ht="61.9" customHeight="1">
      <c r="A39" s="135">
        <v>6</v>
      </c>
      <c r="B39" s="92" t="str">
        <f>VLOOKUP(A39,Transp.[],2,FALSE)</f>
        <v>Carga terrestre desde Bogota hasta Usuario, incluye cargues, descargues, cruces de río, transporte semoviente, transporte fluvia, transporte en vehículo de carga pesada y liviano y cualquier otro tranposte.</v>
      </c>
      <c r="C39" s="75" t="s">
        <v>571</v>
      </c>
      <c r="D39" s="76">
        <f>SUM(E15:E27)+E12</f>
        <v>258.55130000000003</v>
      </c>
      <c r="E39" s="76"/>
      <c r="F39" s="94">
        <f>VLOOKUP(A39,Transp.[],6,FALSE)</f>
        <v>0</v>
      </c>
      <c r="G39" s="94">
        <f>D39*F39</f>
        <v>0</v>
      </c>
    </row>
    <row r="40" spans="1:7" ht="14.5">
      <c r="A40" s="135">
        <v>7</v>
      </c>
      <c r="B40" s="92" t="str">
        <f>VLOOKUP(A40,Transp.[],2,FALSE)</f>
        <v xml:space="preserve">Carga Material Cantera hasta Veredas </v>
      </c>
      <c r="C40" s="75" t="s">
        <v>571</v>
      </c>
      <c r="D40" s="76">
        <f>SUM(E9:E13)-E12</f>
        <v>894.88000000000011</v>
      </c>
      <c r="E40" s="76"/>
      <c r="F40" s="94">
        <f>VLOOKUP(A40,Transp.[],6,FALSE)</f>
        <v>0</v>
      </c>
      <c r="G40" s="94">
        <f>D40*F40</f>
        <v>0</v>
      </c>
    </row>
    <row r="41" spans="1:7" ht="13.15" customHeight="1">
      <c r="A41" s="135"/>
      <c r="B41" s="92"/>
      <c r="C41" s="75"/>
      <c r="D41" s="76"/>
      <c r="E41" s="76"/>
      <c r="F41" s="94"/>
      <c r="G41" s="94"/>
    </row>
    <row r="42" spans="1:7" ht="13">
      <c r="D42" s="82"/>
      <c r="E42" s="82"/>
      <c r="F42" s="96" t="s">
        <v>559</v>
      </c>
      <c r="G42" s="84">
        <f>SUM(G39:G41)</f>
        <v>0</v>
      </c>
    </row>
    <row r="44" spans="1:7" ht="13">
      <c r="B44" s="71" t="s">
        <v>566</v>
      </c>
      <c r="D44" s="97"/>
      <c r="E44" s="97"/>
      <c r="F44" s="98"/>
      <c r="G44" s="90"/>
    </row>
    <row r="45" spans="1:7" s="82" customFormat="1" ht="13">
      <c r="A45" s="134" t="s">
        <v>204</v>
      </c>
      <c r="B45" s="73" t="s">
        <v>97</v>
      </c>
      <c r="C45" s="73" t="s">
        <v>567</v>
      </c>
      <c r="D45" s="73" t="s">
        <v>568</v>
      </c>
      <c r="E45" s="73"/>
      <c r="F45" s="73" t="s">
        <v>99</v>
      </c>
      <c r="G45" s="91" t="s">
        <v>366</v>
      </c>
    </row>
    <row r="46" spans="1:7" ht="14.5">
      <c r="A46" s="135">
        <v>4</v>
      </c>
      <c r="B46" s="99" t="str">
        <f>VLOOKUP(A46,ManoObra[],2,FALSE)</f>
        <v>Oficial de obra</v>
      </c>
      <c r="C46" s="100">
        <f>VLOOKUP(A46,ManoObra[],8,FALSE)</f>
        <v>0</v>
      </c>
      <c r="D46" s="87">
        <f>+FP!E27</f>
        <v>0</v>
      </c>
      <c r="E46" s="87"/>
      <c r="F46" s="106" t="e">
        <f>+G78</f>
        <v>#DIV/0!</v>
      </c>
      <c r="G46" s="86" t="e">
        <f>ROUND(C46*D46/F46,0)</f>
        <v>#DIV/0!</v>
      </c>
    </row>
    <row r="47" spans="1:7" ht="14.5">
      <c r="A47" s="135">
        <v>2</v>
      </c>
      <c r="B47" s="99" t="str">
        <f>VLOOKUP(A47,ManoObra[],2,FALSE)</f>
        <v>Ayudante</v>
      </c>
      <c r="C47" s="100">
        <f>VLOOKUP(A47,ManoObra[],8,FALSE)</f>
        <v>0</v>
      </c>
      <c r="D47" s="87">
        <f>+FP!E27</f>
        <v>0</v>
      </c>
      <c r="E47" s="87"/>
      <c r="F47" s="106" t="e">
        <f>+G79</f>
        <v>#DIV/0!</v>
      </c>
      <c r="G47" s="86" t="e">
        <f>ROUND(C47*D47/F47,0)</f>
        <v>#DIV/0!</v>
      </c>
    </row>
    <row r="48" spans="1:7" ht="14.5">
      <c r="A48" s="135">
        <v>20</v>
      </c>
      <c r="B48" s="99" t="str">
        <f>VLOOKUP(A48,ManoObra[],2,FALSE)</f>
        <v>Soldador</v>
      </c>
      <c r="C48" s="100">
        <f>VLOOKUP(A48,ManoObra[],8,FALSE)</f>
        <v>0</v>
      </c>
      <c r="D48" s="87">
        <f>+FP!E27</f>
        <v>0</v>
      </c>
      <c r="E48" s="87"/>
      <c r="F48" s="106" t="e">
        <f>+G80</f>
        <v>#DIV/0!</v>
      </c>
      <c r="G48" s="86" t="e">
        <f>ROUND(C48*D48/F48,0)</f>
        <v>#DIV/0!</v>
      </c>
    </row>
    <row r="49" spans="1:7" ht="13">
      <c r="D49" s="82"/>
      <c r="E49" s="82"/>
      <c r="F49" s="96" t="s">
        <v>559</v>
      </c>
      <c r="G49" s="110" t="e">
        <f>SUM(G46:G48)</f>
        <v>#DIV/0!</v>
      </c>
    </row>
    <row r="50" spans="1:7" ht="13">
      <c r="D50" s="82"/>
      <c r="E50" s="82"/>
      <c r="G50" s="90"/>
    </row>
    <row r="51" spans="1:7" ht="12.75" customHeight="1">
      <c r="B51" s="82"/>
      <c r="D51" s="503" t="s">
        <v>569</v>
      </c>
      <c r="E51" s="505"/>
      <c r="F51" s="504"/>
      <c r="G51" s="101" t="e">
        <f>G28+G35+G42+G49</f>
        <v>#DIV/0!</v>
      </c>
    </row>
    <row r="59" spans="1:7" ht="13">
      <c r="B59" s="71" t="s">
        <v>576</v>
      </c>
      <c r="D59" s="97"/>
      <c r="E59" s="97"/>
      <c r="F59" s="98"/>
      <c r="G59" s="90"/>
    </row>
    <row r="60" spans="1:7" ht="13">
      <c r="A60" s="134" t="s">
        <v>204</v>
      </c>
      <c r="B60" s="73" t="s">
        <v>97</v>
      </c>
      <c r="C60" s="73" t="s">
        <v>567</v>
      </c>
      <c r="D60" s="73" t="s">
        <v>568</v>
      </c>
      <c r="E60" s="73"/>
      <c r="F60" s="73" t="s">
        <v>99</v>
      </c>
      <c r="G60" s="91" t="s">
        <v>366</v>
      </c>
    </row>
    <row r="61" spans="1:7">
      <c r="A61" s="64" t="s">
        <v>577</v>
      </c>
    </row>
    <row r="62" spans="1:7" ht="14.5">
      <c r="A62" s="135">
        <v>4</v>
      </c>
      <c r="B62" s="99" t="str">
        <f>VLOOKUP(A62,ManoObra[],2,FALSE)</f>
        <v>Oficial de obra</v>
      </c>
      <c r="C62" s="100">
        <f>VLOOKUP(A62,ManoObra[],8,FALSE)</f>
        <v>0</v>
      </c>
      <c r="D62" s="87">
        <f>+FP!E27</f>
        <v>0</v>
      </c>
      <c r="E62" s="87"/>
      <c r="F62" s="106">
        <f>+RENDIMIENTOS!C54/'Memoria Civil'!E23</f>
        <v>0</v>
      </c>
      <c r="G62" s="86" t="e">
        <f>ROUND(C62*D62/F62,0)</f>
        <v>#DIV/0!</v>
      </c>
    </row>
    <row r="63" spans="1:7" ht="14.5">
      <c r="A63" s="135">
        <v>2</v>
      </c>
      <c r="B63" s="99" t="str">
        <f>VLOOKUP(A63,ManoObra[],2,FALSE)</f>
        <v>Ayudante</v>
      </c>
      <c r="C63" s="100">
        <f>VLOOKUP(A63,ManoObra[],8,FALSE)</f>
        <v>0</v>
      </c>
      <c r="D63" s="87">
        <f>+FP!E27</f>
        <v>0</v>
      </c>
      <c r="E63" s="87"/>
      <c r="F63" s="106">
        <f>+F62</f>
        <v>0</v>
      </c>
      <c r="G63" s="86" t="e">
        <f>ROUND(C63*D63/F63,0)</f>
        <v>#DIV/0!</v>
      </c>
    </row>
    <row r="64" spans="1:7">
      <c r="A64" s="64" t="s">
        <v>578</v>
      </c>
    </row>
    <row r="65" spans="1:7" ht="14.5">
      <c r="A65" s="135">
        <v>2</v>
      </c>
      <c r="B65" s="99" t="str">
        <f>VLOOKUP(A65,ManoObra[],2,FALSE)</f>
        <v>Ayudante</v>
      </c>
      <c r="C65" s="100">
        <f>VLOOKUP(A65,ManoObra[],8,FALSE)</f>
        <v>0</v>
      </c>
      <c r="D65" s="87">
        <f>+FP!E27</f>
        <v>0</v>
      </c>
      <c r="E65" s="87"/>
      <c r="F65" s="106">
        <f>+RENDIMIENTOS!C51/'Memoria Civil'!E9</f>
        <v>0</v>
      </c>
      <c r="G65" s="86" t="e">
        <f>ROUND(C65*D65/F65,0)</f>
        <v>#DIV/0!</v>
      </c>
    </row>
    <row r="66" spans="1:7">
      <c r="A66" s="64" t="s">
        <v>579</v>
      </c>
    </row>
    <row r="67" spans="1:7" ht="14.5">
      <c r="A67" s="135">
        <v>4</v>
      </c>
      <c r="B67" s="99" t="str">
        <f>VLOOKUP(A67,ManoObra[],2,FALSE)</f>
        <v>Oficial de obra</v>
      </c>
      <c r="C67" s="100">
        <f>VLOOKUP(A67,ManoObra[],8,FALSE)</f>
        <v>0</v>
      </c>
      <c r="D67" s="87">
        <f>+FP!E27</f>
        <v>0</v>
      </c>
      <c r="E67" s="87"/>
      <c r="F67" s="106">
        <f>+RENDIMIENTOS!C56/'Memoria Civil'!G33</f>
        <v>0</v>
      </c>
      <c r="G67" s="86" t="e">
        <f>ROUND(C67*D67/F67,0)</f>
        <v>#DIV/0!</v>
      </c>
    </row>
    <row r="68" spans="1:7" ht="14.5">
      <c r="A68" s="135">
        <v>2</v>
      </c>
      <c r="B68" s="99" t="str">
        <f>VLOOKUP(A68,ManoObra[],2,FALSE)</f>
        <v>Ayudante</v>
      </c>
      <c r="C68" s="100">
        <f>VLOOKUP(A68,ManoObra[],8,FALSE)</f>
        <v>0</v>
      </c>
      <c r="D68" s="87">
        <f>+FP!E27</f>
        <v>0</v>
      </c>
      <c r="E68" s="87"/>
      <c r="F68" s="106">
        <f>+F67</f>
        <v>0</v>
      </c>
      <c r="G68" s="86" t="e">
        <f>ROUND(C68*D68/F68,0)</f>
        <v>#DIV/0!</v>
      </c>
    </row>
    <row r="69" spans="1:7">
      <c r="A69" s="64" t="s">
        <v>580</v>
      </c>
    </row>
    <row r="70" spans="1:7" ht="14.5">
      <c r="A70" s="135">
        <v>20</v>
      </c>
      <c r="B70" s="99" t="str">
        <f>VLOOKUP(A70,ManoObra[],2,FALSE)</f>
        <v>Soldador</v>
      </c>
      <c r="C70" s="100">
        <f>VLOOKUP(A70,ManoObra[],8,FALSE)</f>
        <v>0</v>
      </c>
      <c r="D70" s="87">
        <f>+FP!E27</f>
        <v>0</v>
      </c>
      <c r="E70" s="87"/>
      <c r="F70" s="106">
        <f>+RENDIMIENTOS!C58/'Memoria Civil'!F52</f>
        <v>0</v>
      </c>
      <c r="G70" s="86" t="e">
        <f>ROUND(C70*D70/F70,0)</f>
        <v>#DIV/0!</v>
      </c>
    </row>
    <row r="71" spans="1:7" ht="14.5">
      <c r="A71" s="135">
        <v>2</v>
      </c>
      <c r="B71" s="99" t="str">
        <f>VLOOKUP(A71,ManoObra[],2,FALSE)</f>
        <v>Ayudante</v>
      </c>
      <c r="C71" s="100">
        <f>VLOOKUP(A71,ManoObra[],8,FALSE)</f>
        <v>0</v>
      </c>
      <c r="D71" s="87">
        <f>+FP!E27</f>
        <v>0</v>
      </c>
      <c r="E71" s="87"/>
      <c r="F71" s="106">
        <f>+F70</f>
        <v>0</v>
      </c>
      <c r="G71" s="86" t="e">
        <f>ROUND(C71*D71/F71,0)</f>
        <v>#DIV/0!</v>
      </c>
    </row>
    <row r="72" spans="1:7">
      <c r="A72" s="64" t="s">
        <v>581</v>
      </c>
    </row>
    <row r="73" spans="1:7" ht="14.5">
      <c r="A73" s="135">
        <v>4</v>
      </c>
      <c r="B73" s="99" t="str">
        <f>VLOOKUP(A73,ManoObra[],2,FALSE)</f>
        <v>Oficial de obra</v>
      </c>
      <c r="C73" s="100">
        <f>VLOOKUP(A73,ManoObra[],8,FALSE)</f>
        <v>0</v>
      </c>
      <c r="D73" s="87">
        <f>+FP!E27</f>
        <v>0</v>
      </c>
      <c r="E73" s="87"/>
      <c r="F73" s="106"/>
      <c r="G73" s="86" t="e">
        <f>ROUND(C73*D73/F73,0)</f>
        <v>#DIV/0!</v>
      </c>
    </row>
    <row r="74" spans="1:7" ht="14.5">
      <c r="A74" s="135">
        <v>2</v>
      </c>
      <c r="B74" s="99" t="str">
        <f>VLOOKUP(A74,ManoObra[],2,FALSE)</f>
        <v>Ayudante</v>
      </c>
      <c r="C74" s="100">
        <f>VLOOKUP(A74,ManoObra[],8,FALSE)</f>
        <v>0</v>
      </c>
      <c r="D74" s="87">
        <f>+FP!E27</f>
        <v>0</v>
      </c>
      <c r="E74" s="87"/>
      <c r="F74" s="106"/>
      <c r="G74" s="86" t="e">
        <f>ROUND(C74*D74/F74,0)</f>
        <v>#DIV/0!</v>
      </c>
    </row>
    <row r="75" spans="1:7" ht="13">
      <c r="D75" s="82"/>
      <c r="E75" s="82"/>
      <c r="F75" s="96" t="s">
        <v>559</v>
      </c>
      <c r="G75" s="110" t="e">
        <f>SUM(G62:G74)</f>
        <v>#DIV/0!</v>
      </c>
    </row>
    <row r="77" spans="1:7">
      <c r="G77" s="64" t="s">
        <v>582</v>
      </c>
    </row>
    <row r="78" spans="1:7" ht="14.5">
      <c r="A78" s="135">
        <v>4</v>
      </c>
      <c r="B78" s="99" t="str">
        <f>VLOOKUP(A78,ManoObra[],2,FALSE)</f>
        <v>Oficial de obra</v>
      </c>
      <c r="C78" s="100">
        <f>VLOOKUP(A78,ManoObra[],8,FALSE)</f>
        <v>0</v>
      </c>
      <c r="D78" s="87">
        <f>+FP!E27</f>
        <v>0</v>
      </c>
      <c r="E78" s="86" t="e">
        <f>+G62+G67+G73</f>
        <v>#DIV/0!</v>
      </c>
      <c r="G78" s="64" t="e">
        <f>(D78*C78)/E78</f>
        <v>#DIV/0!</v>
      </c>
    </row>
    <row r="79" spans="1:7" ht="14.5">
      <c r="A79" s="135">
        <v>2</v>
      </c>
      <c r="B79" s="99" t="str">
        <f>VLOOKUP(A79,ManoObra[],2,FALSE)</f>
        <v>Ayudante</v>
      </c>
      <c r="C79" s="100">
        <f>VLOOKUP(A79,ManoObra[],8,FALSE)</f>
        <v>0</v>
      </c>
      <c r="D79" s="87">
        <f>+FP!E27</f>
        <v>0</v>
      </c>
      <c r="E79" s="86" t="e">
        <f>+G63+G65+G68+G71+G74</f>
        <v>#DIV/0!</v>
      </c>
      <c r="G79" s="64" t="e">
        <f t="shared" ref="G79:G80" si="3">(D79*C79)/E79</f>
        <v>#DIV/0!</v>
      </c>
    </row>
    <row r="80" spans="1:7" ht="14.5">
      <c r="A80" s="135">
        <v>20</v>
      </c>
      <c r="B80" s="99" t="str">
        <f>VLOOKUP(A80,ManoObra[],2,FALSE)</f>
        <v>Soldador</v>
      </c>
      <c r="C80" s="100">
        <f>VLOOKUP(A80,ManoObra[],8,FALSE)</f>
        <v>0</v>
      </c>
      <c r="D80" s="87">
        <f>+FP!E27</f>
        <v>0</v>
      </c>
      <c r="E80" s="86" t="e">
        <f>+G70</f>
        <v>#DIV/0!</v>
      </c>
      <c r="G80" s="64" t="e">
        <f t="shared" si="3"/>
        <v>#DIV/0!</v>
      </c>
    </row>
  </sheetData>
  <mergeCells count="3">
    <mergeCell ref="B1:G1"/>
    <mergeCell ref="B4:E4"/>
    <mergeCell ref="D51:F51"/>
  </mergeCells>
  <printOptions horizontalCentered="1"/>
  <pageMargins left="0.70866141732283472" right="0.70866141732283472" top="1.5748031496062993" bottom="0.98425196850393704" header="0.98425196850393704" footer="0.51181102362204722"/>
  <pageSetup scale="49" orientation="portrait" r:id="rId1"/>
  <headerFooter alignWithMargins="0">
    <oddHeader xml:space="preserve">&amp;C&amp;"Arial,Negrita"&amp;12ANÁLISIS DE PRECIOS UNITARIOS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23953-D054-4949-A65B-F1B0E19DD38F}">
  <sheetPr>
    <tabColor rgb="FFFF0000"/>
  </sheetPr>
  <dimension ref="A1:R41"/>
  <sheetViews>
    <sheetView view="pageBreakPreview" zoomScale="40" zoomScaleNormal="70" zoomScaleSheetLayoutView="40" workbookViewId="0">
      <selection activeCell="F10" sqref="F10"/>
    </sheetView>
  </sheetViews>
  <sheetFormatPr baseColWidth="10" defaultColWidth="11.453125" defaultRowHeight="12.5"/>
  <cols>
    <col min="1" max="1" width="6.26953125" customWidth="1"/>
    <col min="2" max="2" width="61.81640625" customWidth="1"/>
    <col min="3" max="3" width="8.453125" customWidth="1"/>
    <col min="4" max="4" width="11" customWidth="1"/>
    <col min="5" max="10" width="19.26953125" customWidth="1"/>
    <col min="11" max="11" width="21.90625" bestFit="1" customWidth="1"/>
    <col min="12" max="12" width="19.26953125" customWidth="1"/>
    <col min="13" max="13" width="20.90625" bestFit="1" customWidth="1"/>
    <col min="14" max="15" width="19.26953125" customWidth="1"/>
    <col min="16" max="16" width="27.54296875" customWidth="1"/>
    <col min="17" max="17" width="22" customWidth="1"/>
    <col min="18" max="18" width="17.26953125" customWidth="1"/>
    <col min="19" max="19" width="15" bestFit="1" customWidth="1"/>
  </cols>
  <sheetData>
    <row r="1" spans="1:18" s="45" customFormat="1" ht="30" customHeight="1">
      <c r="A1" s="486" t="str">
        <f>+Usuarios!B1</f>
        <v>IMPLEMENTACIÓN DE SOLUCIONES ENERGÉTICAS SOSTENIBLES CON FUENTES NO CONVENCIONALES PARA LAS  COMUNIDADES RURALES DEL MUNICIPIO CARTAGENA DEL CHAIRÁ, DEPARTAMENTO DEL CAQUETÁ</v>
      </c>
      <c r="B1" s="487"/>
      <c r="C1" s="487"/>
      <c r="D1" s="487"/>
      <c r="E1" s="487"/>
      <c r="F1" s="487"/>
      <c r="G1" s="487"/>
      <c r="H1" s="487"/>
      <c r="I1" s="487"/>
      <c r="J1" s="487"/>
      <c r="K1" s="487"/>
      <c r="L1" s="487"/>
      <c r="M1" s="487"/>
      <c r="N1" s="487"/>
      <c r="O1" s="487"/>
      <c r="P1" s="488"/>
    </row>
    <row r="2" spans="1:18" s="47" customFormat="1" ht="15" customHeight="1">
      <c r="A2" s="489" t="s">
        <v>496</v>
      </c>
      <c r="B2" s="489" t="s">
        <v>497</v>
      </c>
      <c r="C2" s="489" t="s">
        <v>165</v>
      </c>
      <c r="D2" s="489" t="s">
        <v>498</v>
      </c>
      <c r="E2" s="490" t="s">
        <v>499</v>
      </c>
      <c r="F2" s="491"/>
      <c r="G2" s="491"/>
      <c r="H2" s="491"/>
      <c r="I2" s="491"/>
      <c r="J2" s="492"/>
      <c r="K2" s="493" t="s">
        <v>500</v>
      </c>
      <c r="L2" s="494"/>
      <c r="M2" s="494"/>
      <c r="N2" s="494"/>
      <c r="O2" s="494"/>
      <c r="P2" s="495"/>
    </row>
    <row r="3" spans="1:18" s="47" customFormat="1" ht="40.15" customHeight="1">
      <c r="A3" s="489"/>
      <c r="B3" s="489"/>
      <c r="C3" s="489"/>
      <c r="D3" s="489"/>
      <c r="E3" s="48" t="s">
        <v>361</v>
      </c>
      <c r="F3" s="48" t="s">
        <v>501</v>
      </c>
      <c r="G3" s="48" t="s">
        <v>502</v>
      </c>
      <c r="H3" s="48" t="s">
        <v>503</v>
      </c>
      <c r="I3" s="48" t="s">
        <v>504</v>
      </c>
      <c r="J3" s="49" t="s">
        <v>505</v>
      </c>
      <c r="K3" s="48" t="s">
        <v>361</v>
      </c>
      <c r="L3" s="48" t="s">
        <v>501</v>
      </c>
      <c r="M3" s="48" t="s">
        <v>502</v>
      </c>
      <c r="N3" s="48" t="s">
        <v>503</v>
      </c>
      <c r="O3" s="48" t="s">
        <v>504</v>
      </c>
      <c r="P3" s="49" t="s">
        <v>506</v>
      </c>
    </row>
    <row r="4" spans="1:18" s="39" customFormat="1" ht="30" customHeight="1">
      <c r="A4" s="50">
        <v>1</v>
      </c>
      <c r="B4" s="263" t="s">
        <v>507</v>
      </c>
      <c r="C4" s="264"/>
      <c r="D4" s="264"/>
      <c r="E4" s="264"/>
      <c r="F4" s="264"/>
      <c r="G4" s="264"/>
      <c r="H4" s="264"/>
      <c r="I4" s="264"/>
      <c r="J4" s="264"/>
      <c r="K4" s="264"/>
      <c r="L4" s="264"/>
      <c r="M4" s="264"/>
      <c r="N4" s="264"/>
      <c r="O4" s="264"/>
      <c r="P4" s="265"/>
    </row>
    <row r="5" spans="1:18" s="39" customFormat="1" ht="30" customHeight="1">
      <c r="A5" s="51" t="s">
        <v>517</v>
      </c>
      <c r="B5" s="52" t="s">
        <v>518</v>
      </c>
      <c r="C5" s="51" t="s">
        <v>170</v>
      </c>
      <c r="D5" s="53">
        <f>+Usuarios!C95</f>
        <v>755</v>
      </c>
      <c r="E5" s="54">
        <f>+'1.1'!F13</f>
        <v>0</v>
      </c>
      <c r="F5" s="54" t="e">
        <f>+'1.1'!F20</f>
        <v>#DIV/0!</v>
      </c>
      <c r="G5" s="54" t="e">
        <f>+'1.1'!F26</f>
        <v>#DIV/0!</v>
      </c>
      <c r="H5" s="54" t="e">
        <f>+'1.1'!F30</f>
        <v>#DIV/0!</v>
      </c>
      <c r="I5" s="54" t="e">
        <f>+'1.1'!F31</f>
        <v>#DIV/0!</v>
      </c>
      <c r="J5" s="54" t="e">
        <f>SUM(E5:I5)</f>
        <v>#DIV/0!</v>
      </c>
      <c r="K5" s="54">
        <f t="shared" ref="K5:K15" si="0">+$D5*E5</f>
        <v>0</v>
      </c>
      <c r="L5" s="54" t="e">
        <f>+$D5*F5</f>
        <v>#DIV/0!</v>
      </c>
      <c r="M5" s="54" t="e">
        <f>+$D5*G5</f>
        <v>#DIV/0!</v>
      </c>
      <c r="N5" s="54" t="e">
        <f t="shared" ref="N5:O5" si="1">+$D5*H5</f>
        <v>#DIV/0!</v>
      </c>
      <c r="O5" s="54" t="e">
        <f t="shared" si="1"/>
        <v>#DIV/0!</v>
      </c>
      <c r="P5" s="54" t="e">
        <f>ROUND(J5*D5,0)</f>
        <v>#DIV/0!</v>
      </c>
    </row>
    <row r="6" spans="1:18" s="39" customFormat="1" ht="118.15" customHeight="1">
      <c r="A6" s="51" t="s">
        <v>519</v>
      </c>
      <c r="B6" s="52" t="s">
        <v>520</v>
      </c>
      <c r="C6" s="51" t="s">
        <v>170</v>
      </c>
      <c r="D6" s="53">
        <f>+D5</f>
        <v>755</v>
      </c>
      <c r="E6" s="54">
        <f>+'1.2'!G13</f>
        <v>0</v>
      </c>
      <c r="F6" s="54" t="e">
        <f>+'1.2'!G20</f>
        <v>#DIV/0!</v>
      </c>
      <c r="G6" s="54">
        <f>+'1.2'!G27</f>
        <v>0</v>
      </c>
      <c r="H6" s="54" t="e">
        <f>+'1.2'!G31</f>
        <v>#DIV/0!</v>
      </c>
      <c r="I6" s="54" t="e">
        <f>+'1.2'!G32</f>
        <v>#DIV/0!</v>
      </c>
      <c r="J6" s="54" t="e">
        <f t="shared" ref="J6" si="2">SUM(E6:I6)</f>
        <v>#DIV/0!</v>
      </c>
      <c r="K6" s="54">
        <f t="shared" si="0"/>
        <v>0</v>
      </c>
      <c r="L6" s="54" t="e">
        <f t="shared" ref="L6:M7" si="3">+$D6*F6</f>
        <v>#DIV/0!</v>
      </c>
      <c r="M6" s="54">
        <f t="shared" si="3"/>
        <v>0</v>
      </c>
      <c r="N6" s="54" t="e">
        <f t="shared" ref="N6:N11" si="4">+$D6*H6</f>
        <v>#DIV/0!</v>
      </c>
      <c r="O6" s="54" t="e">
        <f t="shared" ref="O6:O11" si="5">+$D6*I6</f>
        <v>#DIV/0!</v>
      </c>
      <c r="P6" s="54" t="e">
        <f t="shared" ref="P6:P18" si="6">ROUND(J6*D6,0)</f>
        <v>#DIV/0!</v>
      </c>
    </row>
    <row r="7" spans="1:18" s="39" customFormat="1" ht="108.65" customHeight="1">
      <c r="A7" s="51" t="s">
        <v>521</v>
      </c>
      <c r="B7" s="52" t="s">
        <v>522</v>
      </c>
      <c r="C7" s="51" t="s">
        <v>170</v>
      </c>
      <c r="D7" s="53">
        <f>+Usuarios!D5+Usuarios!D3</f>
        <v>741</v>
      </c>
      <c r="E7" s="54">
        <f>+'1.3'!G18</f>
        <v>0</v>
      </c>
      <c r="F7" s="54">
        <f>+'1.3'!G25</f>
        <v>0</v>
      </c>
      <c r="G7" s="54">
        <f>+'1.3'!G32</f>
        <v>0</v>
      </c>
      <c r="H7" s="54">
        <f>+'1.3'!G36</f>
        <v>0</v>
      </c>
      <c r="I7" s="54">
        <f>+'1.3'!G37</f>
        <v>0</v>
      </c>
      <c r="J7" s="54">
        <f t="shared" ref="J7" si="7">SUM(E7:I7)</f>
        <v>0</v>
      </c>
      <c r="K7" s="54">
        <f t="shared" si="0"/>
        <v>0</v>
      </c>
      <c r="L7" s="54">
        <f t="shared" ref="L7" si="8">+$D7*F7</f>
        <v>0</v>
      </c>
      <c r="M7" s="54">
        <f t="shared" si="3"/>
        <v>0</v>
      </c>
      <c r="N7" s="54">
        <f t="shared" si="4"/>
        <v>0</v>
      </c>
      <c r="O7" s="54">
        <f t="shared" si="5"/>
        <v>0</v>
      </c>
      <c r="P7" s="54">
        <f t="shared" ref="P7" si="9">ROUND(J7*D7,0)</f>
        <v>0</v>
      </c>
    </row>
    <row r="8" spans="1:18" s="39" customFormat="1" ht="108.65" customHeight="1">
      <c r="A8" s="51" t="s">
        <v>523</v>
      </c>
      <c r="B8" s="52" t="s">
        <v>524</v>
      </c>
      <c r="C8" s="51" t="s">
        <v>170</v>
      </c>
      <c r="D8" s="53">
        <f>+Usuarios!D4</f>
        <v>14</v>
      </c>
      <c r="E8" s="54">
        <f>+'1.4'!G18</f>
        <v>0</v>
      </c>
      <c r="F8" s="54" t="e">
        <f>+'1.4'!G25</f>
        <v>#DIV/0!</v>
      </c>
      <c r="G8" s="54">
        <f>+'1.4'!G32</f>
        <v>0</v>
      </c>
      <c r="H8" s="54" t="e">
        <f>+'1.4'!G36</f>
        <v>#DIV/0!</v>
      </c>
      <c r="I8" s="54" t="e">
        <f>+'1.4'!G37</f>
        <v>#DIV/0!</v>
      </c>
      <c r="J8" s="54" t="e">
        <f t="shared" ref="J8" si="10">SUM(E8:I8)</f>
        <v>#DIV/0!</v>
      </c>
      <c r="K8" s="54">
        <f t="shared" ref="K8" si="11">+$D8*E8</f>
        <v>0</v>
      </c>
      <c r="L8" s="54" t="e">
        <f t="shared" ref="L8" si="12">+$D8*F8</f>
        <v>#DIV/0!</v>
      </c>
      <c r="M8" s="54">
        <f t="shared" ref="M8" si="13">+$D8*G8</f>
        <v>0</v>
      </c>
      <c r="N8" s="54" t="e">
        <f t="shared" ref="N8" si="14">+$D8*H8</f>
        <v>#DIV/0!</v>
      </c>
      <c r="O8" s="54" t="e">
        <f t="shared" ref="O8" si="15">+$D8*I8</f>
        <v>#DIV/0!</v>
      </c>
      <c r="P8" s="54" t="e">
        <f t="shared" ref="P8" si="16">ROUND(J8*D8,0)</f>
        <v>#DIV/0!</v>
      </c>
    </row>
    <row r="9" spans="1:18" s="39" customFormat="1" ht="218.5" customHeight="1">
      <c r="A9" s="51" t="s">
        <v>525</v>
      </c>
      <c r="B9" s="52" t="s">
        <v>526</v>
      </c>
      <c r="C9" s="51" t="s">
        <v>170</v>
      </c>
      <c r="D9" s="53">
        <f>+D7</f>
        <v>741</v>
      </c>
      <c r="E9" s="54">
        <f>+'1.5'!G25</f>
        <v>0</v>
      </c>
      <c r="F9" s="54" t="e">
        <f>+'1.5'!G32</f>
        <v>#DIV/0!</v>
      </c>
      <c r="G9" s="54">
        <f>+'1.5'!G39</f>
        <v>0</v>
      </c>
      <c r="H9" s="54" t="e">
        <f>+'1.5'!G43</f>
        <v>#DIV/0!</v>
      </c>
      <c r="I9" s="54" t="e">
        <f>+'1.5'!G44</f>
        <v>#DIV/0!</v>
      </c>
      <c r="J9" s="54" t="e">
        <f t="shared" ref="J9:J14" si="17">SUM(E9:I9)</f>
        <v>#DIV/0!</v>
      </c>
      <c r="K9" s="54">
        <f t="shared" si="0"/>
        <v>0</v>
      </c>
      <c r="L9" s="54" t="e">
        <f>+$D9*F9</f>
        <v>#DIV/0!</v>
      </c>
      <c r="M9" s="54">
        <f>+$D9*G9</f>
        <v>0</v>
      </c>
      <c r="N9" s="54" t="e">
        <f t="shared" si="4"/>
        <v>#DIV/0!</v>
      </c>
      <c r="O9" s="54" t="e">
        <f t="shared" si="5"/>
        <v>#DIV/0!</v>
      </c>
      <c r="P9" s="54" t="e">
        <f t="shared" ref="P9:P14" si="18">ROUND(J9*D9,0)</f>
        <v>#DIV/0!</v>
      </c>
    </row>
    <row r="10" spans="1:18" s="39" customFormat="1" ht="218.5" customHeight="1">
      <c r="A10" s="51" t="s">
        <v>527</v>
      </c>
      <c r="B10" s="52" t="s">
        <v>528</v>
      </c>
      <c r="C10" s="51" t="s">
        <v>170</v>
      </c>
      <c r="D10" s="53">
        <f>+D8</f>
        <v>14</v>
      </c>
      <c r="E10" s="54">
        <f>+'1.6'!G27</f>
        <v>0</v>
      </c>
      <c r="F10" s="54" t="e">
        <f>+'1.6'!G34</f>
        <v>#DIV/0!</v>
      </c>
      <c r="G10" s="54">
        <f>+'1.6'!G41</f>
        <v>0</v>
      </c>
      <c r="H10" s="54" t="e">
        <f>+'1.6'!G45</f>
        <v>#DIV/0!</v>
      </c>
      <c r="I10" s="54" t="e">
        <f>+'1.6'!G46</f>
        <v>#DIV/0!</v>
      </c>
      <c r="J10" s="54" t="e">
        <f t="shared" si="17"/>
        <v>#DIV/0!</v>
      </c>
      <c r="K10" s="54">
        <f t="shared" ref="K10" si="19">+$D10*E10</f>
        <v>0</v>
      </c>
      <c r="L10" s="54" t="e">
        <f>+$D10*F10</f>
        <v>#DIV/0!</v>
      </c>
      <c r="M10" s="54">
        <f>+$D10*G10</f>
        <v>0</v>
      </c>
      <c r="N10" s="54" t="e">
        <f t="shared" ref="N10" si="20">+$D10*H10</f>
        <v>#DIV/0!</v>
      </c>
      <c r="O10" s="54" t="e">
        <f t="shared" ref="O10" si="21">+$D10*I10</f>
        <v>#DIV/0!</v>
      </c>
      <c r="P10" s="54" t="e">
        <f t="shared" si="18"/>
        <v>#DIV/0!</v>
      </c>
    </row>
    <row r="11" spans="1:18" s="39" customFormat="1" ht="72" customHeight="1">
      <c r="A11" s="51" t="s">
        <v>529</v>
      </c>
      <c r="B11" s="52" t="s">
        <v>530</v>
      </c>
      <c r="C11" s="51" t="s">
        <v>170</v>
      </c>
      <c r="D11" s="53">
        <f>+D5</f>
        <v>755</v>
      </c>
      <c r="E11" s="54">
        <f>+'1.7'!G11</f>
        <v>0</v>
      </c>
      <c r="F11" s="54" t="e">
        <f>+'1.7'!G18</f>
        <v>#DIV/0!</v>
      </c>
      <c r="G11" s="54">
        <f>+'1.7'!G25</f>
        <v>0</v>
      </c>
      <c r="H11" s="54" t="e">
        <f>+'1.7'!G29</f>
        <v>#DIV/0!</v>
      </c>
      <c r="I11" s="54" t="e">
        <f>+'1.7'!G30</f>
        <v>#DIV/0!</v>
      </c>
      <c r="J11" s="54" t="e">
        <f t="shared" si="17"/>
        <v>#DIV/0!</v>
      </c>
      <c r="K11" s="54">
        <f t="shared" si="0"/>
        <v>0</v>
      </c>
      <c r="L11" s="54" t="e">
        <f t="shared" ref="L11:L16" si="22">+$D11*F11</f>
        <v>#DIV/0!</v>
      </c>
      <c r="M11" s="54">
        <f t="shared" ref="M11:M19" si="23">+$D11*G11</f>
        <v>0</v>
      </c>
      <c r="N11" s="54" t="e">
        <f t="shared" si="4"/>
        <v>#DIV/0!</v>
      </c>
      <c r="O11" s="54" t="e">
        <f t="shared" si="5"/>
        <v>#DIV/0!</v>
      </c>
      <c r="P11" s="54" t="e">
        <f t="shared" si="18"/>
        <v>#DIV/0!</v>
      </c>
    </row>
    <row r="12" spans="1:18" s="39" customFormat="1" ht="72" customHeight="1">
      <c r="A12" s="51" t="s">
        <v>531</v>
      </c>
      <c r="B12" s="52" t="s">
        <v>532</v>
      </c>
      <c r="C12" s="51" t="s">
        <v>170</v>
      </c>
      <c r="D12" s="53">
        <f>+D5</f>
        <v>755</v>
      </c>
      <c r="E12" s="54">
        <f>+'1.8'!G11</f>
        <v>0</v>
      </c>
      <c r="F12" s="54" t="e">
        <f>+'1.8'!G18</f>
        <v>#DIV/0!</v>
      </c>
      <c r="G12" s="54">
        <f>+'1.8'!G25</f>
        <v>0</v>
      </c>
      <c r="H12" s="54" t="e">
        <f>+'1.8'!G29</f>
        <v>#DIV/0!</v>
      </c>
      <c r="I12" s="54" t="e">
        <f>+'1.8'!G30</f>
        <v>#DIV/0!</v>
      </c>
      <c r="J12" s="54" t="e">
        <f t="shared" si="17"/>
        <v>#DIV/0!</v>
      </c>
      <c r="K12" s="54">
        <f t="shared" si="0"/>
        <v>0</v>
      </c>
      <c r="L12" s="54" t="e">
        <f t="shared" si="22"/>
        <v>#DIV/0!</v>
      </c>
      <c r="M12" s="54">
        <f t="shared" si="23"/>
        <v>0</v>
      </c>
      <c r="N12" s="54" t="e">
        <f t="shared" ref="N12:N19" si="24">+$D12*H12</f>
        <v>#DIV/0!</v>
      </c>
      <c r="O12" s="54" t="e">
        <f t="shared" ref="O12:O19" si="25">+$D12*I12</f>
        <v>#DIV/0!</v>
      </c>
      <c r="P12" s="54" t="e">
        <f t="shared" si="18"/>
        <v>#DIV/0!</v>
      </c>
      <c r="R12" s="55"/>
    </row>
    <row r="13" spans="1:18" s="39" customFormat="1" ht="50">
      <c r="A13" s="51" t="s">
        <v>533</v>
      </c>
      <c r="B13" s="52" t="s">
        <v>534</v>
      </c>
      <c r="C13" s="51" t="s">
        <v>170</v>
      </c>
      <c r="D13" s="53">
        <f>+D7</f>
        <v>741</v>
      </c>
      <c r="E13" s="54">
        <f>+'1.9'!G11</f>
        <v>0</v>
      </c>
      <c r="F13" s="54" t="e">
        <f>+'1.9'!G18</f>
        <v>#DIV/0!</v>
      </c>
      <c r="G13" s="54">
        <f>+'1.9'!G25</f>
        <v>0</v>
      </c>
      <c r="H13" s="54" t="e">
        <f>+'1.9'!G29</f>
        <v>#DIV/0!</v>
      </c>
      <c r="I13" s="54" t="e">
        <f>+'1.9'!G30</f>
        <v>#DIV/0!</v>
      </c>
      <c r="J13" s="54" t="e">
        <f t="shared" si="17"/>
        <v>#DIV/0!</v>
      </c>
      <c r="K13" s="54">
        <f t="shared" si="0"/>
        <v>0</v>
      </c>
      <c r="L13" s="54" t="e">
        <f t="shared" si="22"/>
        <v>#DIV/0!</v>
      </c>
      <c r="M13" s="54">
        <f t="shared" si="23"/>
        <v>0</v>
      </c>
      <c r="N13" s="54" t="e">
        <f t="shared" si="24"/>
        <v>#DIV/0!</v>
      </c>
      <c r="O13" s="54" t="e">
        <f t="shared" si="25"/>
        <v>#DIV/0!</v>
      </c>
      <c r="P13" s="54" t="e">
        <f t="shared" si="18"/>
        <v>#DIV/0!</v>
      </c>
      <c r="R13" s="55"/>
    </row>
    <row r="14" spans="1:18" s="39" customFormat="1" ht="50">
      <c r="A14" s="51" t="s">
        <v>535</v>
      </c>
      <c r="B14" s="52" t="s">
        <v>536</v>
      </c>
      <c r="C14" s="51" t="s">
        <v>170</v>
      </c>
      <c r="D14" s="53">
        <f>+D8</f>
        <v>14</v>
      </c>
      <c r="E14" s="54">
        <f>+'1.10'!G11</f>
        <v>0</v>
      </c>
      <c r="F14" s="54" t="e">
        <f>+'1.10'!G18</f>
        <v>#DIV/0!</v>
      </c>
      <c r="G14" s="54">
        <f>+'1.10'!G25</f>
        <v>0</v>
      </c>
      <c r="H14" s="54" t="e">
        <f>+'1.10'!G29</f>
        <v>#DIV/0!</v>
      </c>
      <c r="I14" s="54" t="e">
        <f>+'1.10'!G30</f>
        <v>#DIV/0!</v>
      </c>
      <c r="J14" s="54" t="e">
        <f t="shared" si="17"/>
        <v>#DIV/0!</v>
      </c>
      <c r="K14" s="54">
        <f t="shared" ref="K14" si="26">+$D14*E14</f>
        <v>0</v>
      </c>
      <c r="L14" s="54" t="e">
        <f t="shared" si="22"/>
        <v>#DIV/0!</v>
      </c>
      <c r="M14" s="54">
        <f t="shared" ref="M14" si="27">+$D14*G14</f>
        <v>0</v>
      </c>
      <c r="N14" s="54" t="e">
        <f t="shared" ref="N14" si="28">+$D14*H14</f>
        <v>#DIV/0!</v>
      </c>
      <c r="O14" s="54" t="e">
        <f t="shared" ref="O14" si="29">+$D14*I14</f>
        <v>#DIV/0!</v>
      </c>
      <c r="P14" s="54" t="e">
        <f t="shared" si="18"/>
        <v>#DIV/0!</v>
      </c>
      <c r="R14" s="55"/>
    </row>
    <row r="15" spans="1:18" s="39" customFormat="1" ht="58.15" customHeight="1">
      <c r="A15" s="51" t="s">
        <v>537</v>
      </c>
      <c r="B15" s="52" t="s">
        <v>538</v>
      </c>
      <c r="C15" s="51" t="s">
        <v>170</v>
      </c>
      <c r="D15" s="53">
        <f>+D7</f>
        <v>741</v>
      </c>
      <c r="E15" s="54">
        <f>+'1.11'!G14</f>
        <v>0</v>
      </c>
      <c r="F15" s="54" t="e">
        <f>+'1.11'!G21</f>
        <v>#DIV/0!</v>
      </c>
      <c r="G15" s="54">
        <f>+'1.11'!G28</f>
        <v>0</v>
      </c>
      <c r="H15" s="54" t="e">
        <f>+'1.11'!G32</f>
        <v>#DIV/0!</v>
      </c>
      <c r="I15" s="54" t="e">
        <f>+'1.11'!G33</f>
        <v>#DIV/0!</v>
      </c>
      <c r="J15" s="54" t="e">
        <f t="shared" ref="J15:J18" si="30">SUM(E15:I15)</f>
        <v>#DIV/0!</v>
      </c>
      <c r="K15" s="54">
        <f t="shared" si="0"/>
        <v>0</v>
      </c>
      <c r="L15" s="54" t="e">
        <f t="shared" si="22"/>
        <v>#DIV/0!</v>
      </c>
      <c r="M15" s="54">
        <f t="shared" si="23"/>
        <v>0</v>
      </c>
      <c r="N15" s="54" t="e">
        <f t="shared" si="24"/>
        <v>#DIV/0!</v>
      </c>
      <c r="O15" s="54" t="e">
        <f t="shared" si="25"/>
        <v>#DIV/0!</v>
      </c>
      <c r="P15" s="54" t="e">
        <f t="shared" ref="P15" si="31">ROUND(J15*D15,0)</f>
        <v>#DIV/0!</v>
      </c>
    </row>
    <row r="16" spans="1:18" s="39" customFormat="1" ht="58.15" customHeight="1">
      <c r="A16" s="51" t="s">
        <v>539</v>
      </c>
      <c r="B16" s="52" t="s">
        <v>540</v>
      </c>
      <c r="C16" s="51" t="s">
        <v>170</v>
      </c>
      <c r="D16" s="53">
        <f>+D8</f>
        <v>14</v>
      </c>
      <c r="E16" s="54">
        <f>+'1.12'!G14</f>
        <v>0</v>
      </c>
      <c r="F16" s="54" t="e">
        <f>+'1.12'!G21</f>
        <v>#DIV/0!</v>
      </c>
      <c r="G16" s="54">
        <f>+'1.12'!G28</f>
        <v>0</v>
      </c>
      <c r="H16" s="54" t="e">
        <f>+'1.12'!G32</f>
        <v>#DIV/0!</v>
      </c>
      <c r="I16" s="54" t="e">
        <f>+'1.12'!G33</f>
        <v>#DIV/0!</v>
      </c>
      <c r="J16" s="54" t="e">
        <f t="shared" ref="J16" si="32">SUM(E16:I16)</f>
        <v>#DIV/0!</v>
      </c>
      <c r="K16" s="54">
        <f t="shared" ref="K16" si="33">+$D16*E16</f>
        <v>0</v>
      </c>
      <c r="L16" s="54" t="e">
        <f t="shared" si="22"/>
        <v>#DIV/0!</v>
      </c>
      <c r="M16" s="54">
        <f t="shared" ref="M16" si="34">+$D16*G16</f>
        <v>0</v>
      </c>
      <c r="N16" s="54" t="e">
        <f t="shared" ref="N16" si="35">+$D16*H16</f>
        <v>#DIV/0!</v>
      </c>
      <c r="O16" s="54" t="e">
        <f t="shared" ref="O16" si="36">+$D16*I16</f>
        <v>#DIV/0!</v>
      </c>
      <c r="P16" s="54" t="e">
        <f t="shared" ref="P16" si="37">ROUND(J16*D16,0)</f>
        <v>#DIV/0!</v>
      </c>
    </row>
    <row r="17" spans="1:18" s="39" customFormat="1" ht="21.65" customHeight="1">
      <c r="A17" s="50">
        <v>2</v>
      </c>
      <c r="B17" s="263" t="s">
        <v>541</v>
      </c>
      <c r="C17" s="264"/>
      <c r="D17" s="264"/>
      <c r="E17" s="264"/>
      <c r="F17" s="264"/>
      <c r="G17" s="264"/>
      <c r="H17" s="264"/>
      <c r="I17" s="264"/>
      <c r="J17" s="264"/>
      <c r="K17" s="264"/>
      <c r="L17" s="264"/>
      <c r="M17" s="264"/>
      <c r="N17" s="264"/>
      <c r="O17" s="264"/>
      <c r="P17" s="265"/>
      <c r="R17" s="55"/>
    </row>
    <row r="18" spans="1:18" s="39" customFormat="1" ht="56.5" customHeight="1">
      <c r="A18" s="51" t="s">
        <v>542</v>
      </c>
      <c r="B18" s="52" t="s">
        <v>543</v>
      </c>
      <c r="C18" s="51" t="s">
        <v>170</v>
      </c>
      <c r="D18" s="53">
        <f>+D5</f>
        <v>755</v>
      </c>
      <c r="E18" s="54">
        <f>+'2.1'!G28</f>
        <v>0</v>
      </c>
      <c r="F18" s="54" t="e">
        <f>+'2.1'!G35</f>
        <v>#DIV/0!</v>
      </c>
      <c r="G18" s="54">
        <f>+'2.1'!G42</f>
        <v>0</v>
      </c>
      <c r="H18" s="54" t="e">
        <f>+'2.1'!G46+'2.1'!G48</f>
        <v>#DIV/0!</v>
      </c>
      <c r="I18" s="54" t="e">
        <f>+'2.1'!G47</f>
        <v>#DIV/0!</v>
      </c>
      <c r="J18" s="54" t="e">
        <f t="shared" si="30"/>
        <v>#DIV/0!</v>
      </c>
      <c r="K18" s="54">
        <f t="shared" ref="K18" si="38">+$D18*E18</f>
        <v>0</v>
      </c>
      <c r="L18" s="54" t="e">
        <f t="shared" ref="L18" si="39">+$D18*F18</f>
        <v>#DIV/0!</v>
      </c>
      <c r="M18" s="54">
        <f t="shared" si="23"/>
        <v>0</v>
      </c>
      <c r="N18" s="54" t="e">
        <f t="shared" si="24"/>
        <v>#DIV/0!</v>
      </c>
      <c r="O18" s="54" t="e">
        <f t="shared" si="25"/>
        <v>#DIV/0!</v>
      </c>
      <c r="P18" s="54" t="e">
        <f t="shared" si="6"/>
        <v>#DIV/0!</v>
      </c>
    </row>
    <row r="19" spans="1:18" s="39" customFormat="1" ht="46.15" customHeight="1">
      <c r="A19" s="51" t="s">
        <v>544</v>
      </c>
      <c r="B19" s="151" t="s">
        <v>545</v>
      </c>
      <c r="C19" s="51" t="s">
        <v>170</v>
      </c>
      <c r="D19" s="53">
        <f>+D5</f>
        <v>755</v>
      </c>
      <c r="E19" s="54">
        <f>+'2.2'!G11</f>
        <v>0</v>
      </c>
      <c r="F19" s="54" t="e">
        <f>+'2.2'!G18</f>
        <v>#DIV/0!</v>
      </c>
      <c r="G19" s="54">
        <f>+'2.2'!G25</f>
        <v>0</v>
      </c>
      <c r="H19" s="54">
        <f>+'2.2'!G29</f>
        <v>0</v>
      </c>
      <c r="I19" s="54" t="e">
        <f>+'2.2'!G30</f>
        <v>#DIV/0!</v>
      </c>
      <c r="J19" s="54" t="e">
        <f t="shared" ref="J19" si="40">SUM(E19:I19)</f>
        <v>#DIV/0!</v>
      </c>
      <c r="K19" s="54">
        <f>+$D19*E19</f>
        <v>0</v>
      </c>
      <c r="L19" s="54" t="e">
        <f>+$D19*F19</f>
        <v>#DIV/0!</v>
      </c>
      <c r="M19" s="54">
        <f t="shared" si="23"/>
        <v>0</v>
      </c>
      <c r="N19" s="54">
        <f t="shared" si="24"/>
        <v>0</v>
      </c>
      <c r="O19" s="54" t="e">
        <f t="shared" si="25"/>
        <v>#DIV/0!</v>
      </c>
      <c r="P19" s="54" t="e">
        <f t="shared" ref="P19" si="41">ROUND(J19*D19,0)</f>
        <v>#DIV/0!</v>
      </c>
    </row>
    <row r="20" spans="1:18" s="39" customFormat="1" ht="37.15" customHeight="1">
      <c r="A20" s="50">
        <v>3</v>
      </c>
      <c r="B20" s="263" t="s">
        <v>546</v>
      </c>
      <c r="C20" s="264"/>
      <c r="D20" s="264"/>
      <c r="E20" s="264"/>
      <c r="F20" s="264"/>
      <c r="G20" s="264"/>
      <c r="H20" s="264"/>
      <c r="I20" s="264"/>
      <c r="J20" s="264"/>
      <c r="K20" s="264"/>
      <c r="L20" s="264"/>
      <c r="M20" s="264"/>
      <c r="N20" s="264"/>
      <c r="O20" s="264"/>
      <c r="P20" s="265"/>
    </row>
    <row r="21" spans="1:18" s="39" customFormat="1" ht="47.5" customHeight="1">
      <c r="A21" s="51" t="s">
        <v>547</v>
      </c>
      <c r="B21" s="52" t="s">
        <v>548</v>
      </c>
      <c r="C21" s="51" t="s">
        <v>170</v>
      </c>
      <c r="D21" s="53">
        <f>+D5</f>
        <v>755</v>
      </c>
      <c r="E21" s="54">
        <f>+'3.1'!G22</f>
        <v>0</v>
      </c>
      <c r="F21" s="54" t="e">
        <f>+'3.1'!G29</f>
        <v>#DIV/0!</v>
      </c>
      <c r="G21" s="54">
        <f>+'3.1'!G36</f>
        <v>0</v>
      </c>
      <c r="H21" s="54" t="e">
        <f>+'3.1'!G40</f>
        <v>#DIV/0!</v>
      </c>
      <c r="I21" s="54" t="e">
        <f>+'3.1'!G41</f>
        <v>#DIV/0!</v>
      </c>
      <c r="J21" s="54" t="e">
        <f t="shared" ref="J21" si="42">SUM(E21:I21)</f>
        <v>#DIV/0!</v>
      </c>
      <c r="K21" s="54">
        <f t="shared" ref="K21" si="43">+$D21*E21</f>
        <v>0</v>
      </c>
      <c r="L21" s="54" t="e">
        <f t="shared" ref="L21" si="44">+$D21*F21</f>
        <v>#DIV/0!</v>
      </c>
      <c r="M21" s="54">
        <f t="shared" ref="M21:M23" si="45">+$D21*G21</f>
        <v>0</v>
      </c>
      <c r="N21" s="54" t="e">
        <f t="shared" ref="N21:N23" si="46">+$D21*H21</f>
        <v>#DIV/0!</v>
      </c>
      <c r="O21" s="54" t="e">
        <f t="shared" ref="O21:O23" si="47">+$D21*I21</f>
        <v>#DIV/0!</v>
      </c>
      <c r="P21" s="54" t="e">
        <f t="shared" ref="P21" si="48">ROUND(J21*D21,0)</f>
        <v>#DIV/0!</v>
      </c>
    </row>
    <row r="22" spans="1:18" s="39" customFormat="1" ht="30" customHeight="1">
      <c r="A22" s="50">
        <v>4</v>
      </c>
      <c r="B22" s="263" t="s">
        <v>549</v>
      </c>
      <c r="C22" s="264"/>
      <c r="D22" s="264"/>
      <c r="E22" s="264"/>
      <c r="F22" s="264"/>
      <c r="G22" s="264"/>
      <c r="H22" s="264"/>
      <c r="I22" s="264"/>
      <c r="J22" s="264"/>
      <c r="K22" s="264"/>
      <c r="L22" s="264"/>
      <c r="M22" s="264"/>
      <c r="N22" s="264"/>
      <c r="O22" s="264"/>
      <c r="P22" s="265"/>
    </row>
    <row r="23" spans="1:18" s="39" customFormat="1" ht="56.5" customHeight="1">
      <c r="A23" s="51" t="s">
        <v>550</v>
      </c>
      <c r="B23" s="52" t="s">
        <v>551</v>
      </c>
      <c r="C23" s="51" t="s">
        <v>170</v>
      </c>
      <c r="D23" s="53">
        <f>+D7</f>
        <v>741</v>
      </c>
      <c r="E23" s="54">
        <f>+'4.1'!G25</f>
        <v>0</v>
      </c>
      <c r="F23" s="54" t="e">
        <f>+'4.1'!G32</f>
        <v>#DIV/0!</v>
      </c>
      <c r="G23" s="54">
        <f>+'4.1'!G39</f>
        <v>0</v>
      </c>
      <c r="H23" s="54" t="e">
        <f>+'4.1'!G43</f>
        <v>#DIV/0!</v>
      </c>
      <c r="I23" s="54" t="e">
        <f>+'4.1'!G44</f>
        <v>#DIV/0!</v>
      </c>
      <c r="J23" s="54" t="e">
        <f t="shared" ref="J23" si="49">SUM(E23:I23)</f>
        <v>#DIV/0!</v>
      </c>
      <c r="K23" s="54">
        <f t="shared" ref="K23" si="50">+$D23*E23</f>
        <v>0</v>
      </c>
      <c r="L23" s="54" t="e">
        <f t="shared" ref="L23" si="51">+$D23*F23</f>
        <v>#DIV/0!</v>
      </c>
      <c r="M23" s="54">
        <f t="shared" si="45"/>
        <v>0</v>
      </c>
      <c r="N23" s="54" t="e">
        <f t="shared" si="46"/>
        <v>#DIV/0!</v>
      </c>
      <c r="O23" s="54" t="e">
        <f t="shared" si="47"/>
        <v>#DIV/0!</v>
      </c>
      <c r="P23" s="54" t="e">
        <f t="shared" ref="P23" si="52">ROUND(J23*D23,0)</f>
        <v>#DIV/0!</v>
      </c>
    </row>
    <row r="24" spans="1:18" s="39" customFormat="1" ht="56.5" customHeight="1">
      <c r="A24" s="51" t="s">
        <v>552</v>
      </c>
      <c r="B24" s="52" t="s">
        <v>553</v>
      </c>
      <c r="C24" s="51" t="s">
        <v>170</v>
      </c>
      <c r="D24" s="53">
        <f>+D8</f>
        <v>14</v>
      </c>
      <c r="E24" s="54">
        <f>+'4.2'!G25</f>
        <v>0</v>
      </c>
      <c r="F24" s="54" t="e">
        <f>+'4.2'!G32</f>
        <v>#DIV/0!</v>
      </c>
      <c r="G24" s="54">
        <f>+'4.2'!G39</f>
        <v>0</v>
      </c>
      <c r="H24" s="54" t="e">
        <f>+'4.2'!G43</f>
        <v>#DIV/0!</v>
      </c>
      <c r="I24" s="54" t="e">
        <f>+'4.2'!G44</f>
        <v>#DIV/0!</v>
      </c>
      <c r="J24" s="54" t="e">
        <f t="shared" ref="J24" si="53">SUM(E24:I24)</f>
        <v>#DIV/0!</v>
      </c>
      <c r="K24" s="54">
        <f t="shared" ref="K24" si="54">+$D24*E24</f>
        <v>0</v>
      </c>
      <c r="L24" s="54" t="e">
        <f t="shared" ref="L24" si="55">+$D24*F24</f>
        <v>#DIV/0!</v>
      </c>
      <c r="M24" s="54">
        <f t="shared" ref="M24" si="56">+$D24*G24</f>
        <v>0</v>
      </c>
      <c r="N24" s="54" t="e">
        <f t="shared" ref="N24" si="57">+$D24*H24</f>
        <v>#DIV/0!</v>
      </c>
      <c r="O24" s="54" t="e">
        <f t="shared" ref="O24" si="58">+$D24*I24</f>
        <v>#DIV/0!</v>
      </c>
      <c r="P24" s="54" t="e">
        <f t="shared" ref="P24" si="59">ROUND(J24*D24,0)</f>
        <v>#DIV/0!</v>
      </c>
    </row>
    <row r="25" spans="1:18" s="39" customFormat="1" ht="18" customHeight="1">
      <c r="A25" s="483" t="s">
        <v>554</v>
      </c>
      <c r="B25" s="484"/>
      <c r="C25" s="484"/>
      <c r="D25" s="484"/>
      <c r="E25" s="484"/>
      <c r="F25" s="484"/>
      <c r="G25" s="484"/>
      <c r="H25" s="484"/>
      <c r="I25" s="484"/>
      <c r="J25" s="485"/>
      <c r="K25" s="56">
        <f t="shared" ref="K25:N25" si="60">ROUND(SUM(K5:K24),0)</f>
        <v>0</v>
      </c>
      <c r="L25" s="56" t="e">
        <f t="shared" si="60"/>
        <v>#DIV/0!</v>
      </c>
      <c r="M25" s="56" t="e">
        <f t="shared" si="60"/>
        <v>#DIV/0!</v>
      </c>
      <c r="N25" s="56" t="e">
        <f t="shared" si="60"/>
        <v>#DIV/0!</v>
      </c>
      <c r="O25" s="56" t="e">
        <f>ROUND(SUM(O5:O24),0)</f>
        <v>#DIV/0!</v>
      </c>
      <c r="P25" s="56" t="e">
        <f>ROUND(SUM(P5:P24),0)</f>
        <v>#DIV/0!</v>
      </c>
    </row>
    <row r="26" spans="1:18" s="39" customFormat="1" ht="18" customHeight="1">
      <c r="A26" s="480" t="s">
        <v>508</v>
      </c>
      <c r="B26" s="481"/>
      <c r="C26" s="481"/>
      <c r="D26" s="481"/>
      <c r="E26" s="481"/>
      <c r="F26" s="481"/>
      <c r="G26" s="481"/>
      <c r="H26" s="481"/>
      <c r="I26" s="482"/>
      <c r="J26" s="518"/>
      <c r="K26" s="57"/>
      <c r="L26" s="57"/>
      <c r="M26" s="57"/>
      <c r="N26" s="57"/>
      <c r="O26" s="57"/>
      <c r="P26" s="57" t="e">
        <f>ROUND(J26*$P$25,0)</f>
        <v>#DIV/0!</v>
      </c>
      <c r="Q26" s="55"/>
    </row>
    <row r="27" spans="1:18" s="39" customFormat="1" ht="18" customHeight="1">
      <c r="A27" s="480" t="s">
        <v>509</v>
      </c>
      <c r="B27" s="481"/>
      <c r="C27" s="481"/>
      <c r="D27" s="481"/>
      <c r="E27" s="481"/>
      <c r="F27" s="481"/>
      <c r="G27" s="481"/>
      <c r="H27" s="481"/>
      <c r="I27" s="482"/>
      <c r="J27" s="518"/>
      <c r="K27" s="57"/>
      <c r="L27" s="57"/>
      <c r="M27" s="57"/>
      <c r="N27" s="57"/>
      <c r="O27" s="57"/>
      <c r="P27" s="57" t="e">
        <f t="shared" ref="P27:P28" si="61">ROUND(J27*$P$25,0)</f>
        <v>#DIV/0!</v>
      </c>
    </row>
    <row r="28" spans="1:18" s="39" customFormat="1" ht="18" customHeight="1">
      <c r="A28" s="480" t="s">
        <v>510</v>
      </c>
      <c r="B28" s="481"/>
      <c r="C28" s="481"/>
      <c r="D28" s="481"/>
      <c r="E28" s="481"/>
      <c r="F28" s="481"/>
      <c r="G28" s="481"/>
      <c r="H28" s="481"/>
      <c r="I28" s="482"/>
      <c r="J28" s="518"/>
      <c r="K28" s="57"/>
      <c r="L28" s="57"/>
      <c r="M28" s="57"/>
      <c r="N28" s="57"/>
      <c r="O28" s="57"/>
      <c r="P28" s="57" t="e">
        <f t="shared" si="61"/>
        <v>#DIV/0!</v>
      </c>
    </row>
    <row r="29" spans="1:18" s="39" customFormat="1" ht="18" customHeight="1">
      <c r="A29" s="480" t="s">
        <v>511</v>
      </c>
      <c r="B29" s="481"/>
      <c r="C29" s="481"/>
      <c r="D29" s="481"/>
      <c r="E29" s="481"/>
      <c r="F29" s="481"/>
      <c r="G29" s="481"/>
      <c r="H29" s="481"/>
      <c r="I29" s="482"/>
      <c r="J29" s="518"/>
      <c r="K29" s="57"/>
      <c r="L29" s="57"/>
      <c r="M29" s="57"/>
      <c r="N29" s="57"/>
      <c r="O29" s="57"/>
      <c r="P29" s="57" t="e">
        <f>ROUND(J29*$P$28,0)</f>
        <v>#DIV/0!</v>
      </c>
    </row>
    <row r="30" spans="1:18" s="39" customFormat="1" ht="18" customHeight="1">
      <c r="A30" s="480" t="s">
        <v>512</v>
      </c>
      <c r="B30" s="481"/>
      <c r="C30" s="481"/>
      <c r="D30" s="481"/>
      <c r="E30" s="481"/>
      <c r="F30" s="481"/>
      <c r="G30" s="481"/>
      <c r="H30" s="481"/>
      <c r="I30" s="482"/>
      <c r="J30" s="518"/>
      <c r="K30" s="57"/>
      <c r="L30" s="57"/>
      <c r="M30" s="57"/>
      <c r="N30" s="57"/>
      <c r="O30" s="57"/>
      <c r="P30" s="57" t="e">
        <f>SUM(P26:P29)</f>
        <v>#DIV/0!</v>
      </c>
    </row>
    <row r="31" spans="1:18" s="39" customFormat="1" ht="18" customHeight="1">
      <c r="A31" s="496" t="s">
        <v>513</v>
      </c>
      <c r="B31" s="497"/>
      <c r="C31" s="497"/>
      <c r="D31" s="497"/>
      <c r="E31" s="497"/>
      <c r="F31" s="497"/>
      <c r="G31" s="497"/>
      <c r="H31" s="497"/>
      <c r="I31" s="497"/>
      <c r="J31" s="498"/>
      <c r="K31" s="58"/>
      <c r="L31" s="58"/>
      <c r="M31" s="58"/>
      <c r="N31" s="58"/>
      <c r="O31" s="58"/>
      <c r="P31" s="58" t="e">
        <f>+P30+P25</f>
        <v>#DIV/0!</v>
      </c>
    </row>
    <row r="32" spans="1:18" s="39" customFormat="1" ht="18" customHeight="1">
      <c r="A32" s="480" t="s">
        <v>555</v>
      </c>
      <c r="B32" s="481"/>
      <c r="C32" s="481"/>
      <c r="D32" s="481"/>
      <c r="E32" s="481"/>
      <c r="F32" s="481"/>
      <c r="G32" s="481"/>
      <c r="H32" s="481"/>
      <c r="I32" s="482"/>
      <c r="J32" s="204"/>
      <c r="K32" s="57"/>
      <c r="L32" s="57"/>
      <c r="M32" s="57"/>
      <c r="N32" s="57"/>
      <c r="O32" s="57"/>
      <c r="P32" s="57">
        <f>+APU_PGS!G64</f>
        <v>0</v>
      </c>
    </row>
    <row r="33" spans="1:17" s="39" customFormat="1" ht="18" customHeight="1">
      <c r="A33" s="480" t="s">
        <v>514</v>
      </c>
      <c r="B33" s="481"/>
      <c r="C33" s="481"/>
      <c r="D33" s="481"/>
      <c r="E33" s="481"/>
      <c r="F33" s="481"/>
      <c r="G33" s="481"/>
      <c r="H33" s="481"/>
      <c r="I33" s="482"/>
      <c r="J33" s="204"/>
      <c r="K33" s="57"/>
      <c r="L33" s="57"/>
      <c r="M33" s="57"/>
      <c r="N33" s="57"/>
      <c r="O33" s="57"/>
      <c r="P33" s="57">
        <f>+APU_PMA!G36</f>
        <v>0</v>
      </c>
    </row>
    <row r="34" spans="1:17" s="39" customFormat="1" ht="18" customHeight="1">
      <c r="A34" s="468" t="s">
        <v>1075</v>
      </c>
      <c r="B34" s="469"/>
      <c r="C34" s="469"/>
      <c r="D34" s="469"/>
      <c r="E34" s="469"/>
      <c r="F34" s="469"/>
      <c r="G34" s="469"/>
      <c r="H34" s="469"/>
      <c r="I34" s="470"/>
      <c r="J34" s="60"/>
      <c r="K34" s="60"/>
      <c r="L34" s="60"/>
      <c r="M34" s="60"/>
      <c r="N34" s="60"/>
      <c r="O34" s="60"/>
      <c r="P34" s="332" t="e">
        <f>SUM(P31:P33)</f>
        <v>#DIV/0!</v>
      </c>
    </row>
    <row r="35" spans="1:17" s="39" customFormat="1" ht="18" customHeight="1">
      <c r="A35" s="471" t="s">
        <v>515</v>
      </c>
      <c r="B35" s="472"/>
      <c r="C35" s="472"/>
      <c r="D35" s="472"/>
      <c r="E35" s="472"/>
      <c r="F35" s="472"/>
      <c r="G35" s="472"/>
      <c r="H35" s="472"/>
      <c r="I35" s="473"/>
      <c r="J35" s="61"/>
      <c r="K35" s="59"/>
      <c r="L35" s="59"/>
      <c r="M35" s="59"/>
      <c r="N35" s="59"/>
      <c r="O35" s="59"/>
      <c r="P35" s="333">
        <f>+Usuarios!C95</f>
        <v>755</v>
      </c>
    </row>
    <row r="36" spans="1:17" s="26" customFormat="1" ht="18" customHeight="1">
      <c r="A36" s="474" t="s">
        <v>516</v>
      </c>
      <c r="B36" s="475"/>
      <c r="C36" s="475"/>
      <c r="D36" s="475"/>
      <c r="E36" s="475"/>
      <c r="F36" s="475"/>
      <c r="G36" s="475"/>
      <c r="H36" s="475"/>
      <c r="I36" s="476"/>
      <c r="J36" s="62"/>
      <c r="K36" s="63"/>
      <c r="L36" s="63"/>
      <c r="M36" s="63"/>
      <c r="N36" s="63"/>
      <c r="O36" s="63"/>
      <c r="P36" s="334" t="e">
        <f>+P34/P35</f>
        <v>#DIV/0!</v>
      </c>
      <c r="Q36" s="273"/>
    </row>
    <row r="37" spans="1:17" ht="13">
      <c r="A37" s="477"/>
      <c r="B37" s="478"/>
      <c r="C37" s="478"/>
      <c r="D37" s="478"/>
      <c r="E37" s="478"/>
      <c r="F37" s="478"/>
      <c r="G37" s="478"/>
      <c r="H37" s="478"/>
      <c r="I37" s="478"/>
      <c r="J37" s="478"/>
      <c r="K37" s="478"/>
      <c r="L37" s="478"/>
      <c r="M37" s="478"/>
      <c r="N37" s="478"/>
      <c r="O37" s="478"/>
      <c r="P37" s="479"/>
    </row>
    <row r="38" spans="1:17" ht="23.5" customHeight="1"/>
    <row r="39" spans="1:17" ht="23.5" customHeight="1"/>
    <row r="40" spans="1:17" ht="33" customHeight="1"/>
    <row r="41" spans="1:17" ht="23.5" customHeight="1"/>
  </sheetData>
  <mergeCells count="20">
    <mergeCell ref="A29:I29"/>
    <mergeCell ref="A28:I28"/>
    <mergeCell ref="A36:I36"/>
    <mergeCell ref="A37:P37"/>
    <mergeCell ref="A32:I32"/>
    <mergeCell ref="A33:I33"/>
    <mergeCell ref="A34:I34"/>
    <mergeCell ref="A35:I35"/>
    <mergeCell ref="A30:I30"/>
    <mergeCell ref="A31:J31"/>
    <mergeCell ref="A25:J25"/>
    <mergeCell ref="A26:I26"/>
    <mergeCell ref="A27:I27"/>
    <mergeCell ref="A1:P1"/>
    <mergeCell ref="A2:A3"/>
    <mergeCell ref="B2:B3"/>
    <mergeCell ref="C2:C3"/>
    <mergeCell ref="D2:D3"/>
    <mergeCell ref="E2:J2"/>
    <mergeCell ref="K2:P2"/>
  </mergeCells>
  <phoneticPr fontId="39" type="noConversion"/>
  <pageMargins left="0.82677165354330717" right="0.78740157480314965" top="0.55118110236220474" bottom="0.43307086614173229" header="0.31496062992125984" footer="0.31496062992125984"/>
  <pageSetup scale="28" fitToHeight="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B4D37-AE4B-4DA2-AC26-2CEBC8D3B266}">
  <sheetPr>
    <tabColor theme="4" tint="0.59999389629810485"/>
    <pageSetUpPr fitToPage="1"/>
  </sheetPr>
  <dimension ref="A1:G33"/>
  <sheetViews>
    <sheetView showGridLines="0" view="pageBreakPreview" zoomScale="80" zoomScaleNormal="120" zoomScaleSheetLayoutView="80" workbookViewId="0">
      <selection activeCell="F30" sqref="F30"/>
    </sheetView>
  </sheetViews>
  <sheetFormatPr baseColWidth="10" defaultColWidth="11.453125" defaultRowHeight="12.5"/>
  <cols>
    <col min="1" max="1" width="11.453125" style="64"/>
    <col min="2" max="2" width="48.26953125" style="64" customWidth="1"/>
    <col min="3" max="3" width="11.453125" style="64"/>
    <col min="4" max="5" width="11.7265625" style="64" customWidth="1"/>
    <col min="6" max="6" width="15" style="64" customWidth="1"/>
    <col min="7" max="7" width="15.26953125" style="64" customWidth="1"/>
    <col min="8" max="8" width="6.26953125" style="64" customWidth="1"/>
    <col min="9" max="9" width="11.453125" style="64"/>
    <col min="10" max="10" width="11.7265625" style="64" bestFit="1" customWidth="1"/>
    <col min="11" max="16384" width="11.453125" style="64"/>
  </cols>
  <sheetData>
    <row r="1" spans="1:7" ht="18.75" customHeight="1">
      <c r="B1" s="499" t="str">
        <f>+'PRESUPUESTO GENERAL SISFV'!A1</f>
        <v>IMPLEMENTACIÓN DE SOLUCIONES ENERGÉTICAS SOSTENIBLES CON FUENTES NO CONVENCIONALES PARA LAS  COMUNIDADES RURALES DEL MUNICIPIO CARTAGENA DEL CHAIRÁ, DEPARTAMENTO DEL CAQUETÁ</v>
      </c>
      <c r="C1" s="499"/>
      <c r="D1" s="499"/>
      <c r="E1" s="499"/>
      <c r="F1" s="499"/>
      <c r="G1" s="499"/>
    </row>
    <row r="3" spans="1:7" ht="12.75" customHeight="1">
      <c r="B3" s="65" t="s">
        <v>556</v>
      </c>
      <c r="C3" s="66" t="str">
        <f>+'PRESUPUESTO GENERAL SISFV'!A19</f>
        <v>2.2</v>
      </c>
      <c r="D3" s="66"/>
      <c r="E3" s="66"/>
      <c r="F3" s="66"/>
      <c r="G3" s="67" t="s">
        <v>557</v>
      </c>
    </row>
    <row r="4" spans="1:7" ht="58.9" customHeight="1">
      <c r="B4" s="500" t="str">
        <f>+'PRESUPUESTO GENERAL SISFV'!B19</f>
        <v>Excavación de zanja para acometida principal en zona verde, de 20 cm de ancho x 60 cm de profundidad y hasta 3 m de longitud. Se utilizará para relleno, el mismo material excavado.</v>
      </c>
      <c r="C4" s="506"/>
      <c r="D4" s="506"/>
      <c r="E4" s="507"/>
      <c r="G4" s="68" t="str">
        <f>+'PRESUPUESTO GENERAL SISFV'!C19</f>
        <v>UN</v>
      </c>
    </row>
    <row r="5" spans="1:7" ht="13">
      <c r="B5" s="69"/>
      <c r="G5" s="70"/>
    </row>
    <row r="6" spans="1:7" ht="13">
      <c r="B6" s="71" t="s">
        <v>558</v>
      </c>
    </row>
    <row r="7" spans="1:7" ht="13">
      <c r="A7" s="134" t="s">
        <v>204</v>
      </c>
      <c r="B7" s="72" t="s">
        <v>97</v>
      </c>
      <c r="C7" s="73" t="s">
        <v>364</v>
      </c>
      <c r="D7" s="73" t="s">
        <v>126</v>
      </c>
      <c r="E7" s="73" t="s">
        <v>483</v>
      </c>
      <c r="F7" s="73" t="s">
        <v>365</v>
      </c>
      <c r="G7" s="73" t="s">
        <v>366</v>
      </c>
    </row>
    <row r="8" spans="1:7" ht="14.5">
      <c r="A8" s="135"/>
      <c r="B8" s="104"/>
      <c r="C8" s="75"/>
      <c r="D8" s="75"/>
      <c r="E8" s="75"/>
      <c r="F8" s="77"/>
      <c r="G8" s="77"/>
    </row>
    <row r="9" spans="1:7" ht="14.5">
      <c r="A9" s="135"/>
      <c r="B9" s="104"/>
      <c r="C9" s="75"/>
      <c r="D9" s="75"/>
      <c r="E9" s="75"/>
      <c r="F9" s="77"/>
      <c r="G9" s="77"/>
    </row>
    <row r="10" spans="1:7" ht="14.5">
      <c r="A10" s="7"/>
      <c r="B10" s="104"/>
      <c r="C10" s="75"/>
      <c r="D10" s="75"/>
      <c r="E10" s="75"/>
      <c r="F10" s="77"/>
      <c r="G10" s="77"/>
    </row>
    <row r="11" spans="1:7" ht="13">
      <c r="D11" s="82"/>
      <c r="E11" s="82"/>
      <c r="F11" s="83" t="s">
        <v>559</v>
      </c>
      <c r="G11" s="84">
        <f>SUM(G8:G10)</f>
        <v>0</v>
      </c>
    </row>
    <row r="12" spans="1:7">
      <c r="G12" s="108"/>
    </row>
    <row r="13" spans="1:7" ht="13">
      <c r="B13" s="85" t="s">
        <v>560</v>
      </c>
      <c r="G13" s="109"/>
    </row>
    <row r="14" spans="1:7" ht="13">
      <c r="A14" s="134" t="s">
        <v>204</v>
      </c>
      <c r="B14" s="72" t="s">
        <v>97</v>
      </c>
      <c r="C14" s="73" t="s">
        <v>2</v>
      </c>
      <c r="D14" s="73" t="s">
        <v>561</v>
      </c>
      <c r="E14" s="73"/>
      <c r="F14" s="73" t="s">
        <v>99</v>
      </c>
      <c r="G14" s="73" t="s">
        <v>366</v>
      </c>
    </row>
    <row r="15" spans="1:7" ht="14.5">
      <c r="A15" s="135">
        <v>1</v>
      </c>
      <c r="B15" s="78" t="str">
        <f>VLOOKUP(A15,Equipoyherramienta[],2,FALSE)</f>
        <v>Herramienta menor</v>
      </c>
      <c r="C15" s="79" t="str">
        <f>VLOOKUP(A15,Equipoyherramienta[],3,FALSE)</f>
        <v>UN</v>
      </c>
      <c r="D15" s="86">
        <f>VLOOKUP(A15,Equipoyherramienta[],4,FALSE)</f>
        <v>0</v>
      </c>
      <c r="E15" s="86"/>
      <c r="F15" s="106"/>
      <c r="G15" s="86" t="e">
        <f>ROUND(D15/F15,0)</f>
        <v>#DIV/0!</v>
      </c>
    </row>
    <row r="16" spans="1:7" ht="14.5">
      <c r="A16" s="135">
        <v>5</v>
      </c>
      <c r="B16" s="78" t="str">
        <f>VLOOKUP(A16,Equipoyherramienta[],2,FALSE)</f>
        <v>Herramienta para hoyar</v>
      </c>
      <c r="C16" s="79" t="str">
        <f>VLOOKUP(A16,Equipoyherramienta[],3,FALSE)</f>
        <v>HORA</v>
      </c>
      <c r="D16" s="86">
        <f>VLOOKUP(A16,Equipoyherramienta[],4,FALSE)</f>
        <v>0</v>
      </c>
      <c r="E16" s="81"/>
      <c r="F16" s="106"/>
      <c r="G16" s="86" t="e">
        <f>ROUND(D16/F16,0)</f>
        <v>#DIV/0!</v>
      </c>
    </row>
    <row r="17" spans="1:7">
      <c r="B17" s="78"/>
      <c r="C17" s="79"/>
      <c r="D17" s="81"/>
      <c r="E17" s="81"/>
      <c r="F17" s="87"/>
      <c r="G17" s="88"/>
    </row>
    <row r="18" spans="1:7" ht="13">
      <c r="D18" s="82"/>
      <c r="E18" s="82"/>
      <c r="F18" s="83" t="s">
        <v>559</v>
      </c>
      <c r="G18" s="84" t="e">
        <f>SUM(G15:G17)</f>
        <v>#DIV/0!</v>
      </c>
    </row>
    <row r="19" spans="1:7" ht="13">
      <c r="D19" s="82"/>
      <c r="E19" s="82"/>
      <c r="F19" s="82"/>
      <c r="G19" s="89"/>
    </row>
    <row r="20" spans="1:7" ht="13">
      <c r="B20" s="71" t="s">
        <v>562</v>
      </c>
      <c r="G20" s="90"/>
    </row>
    <row r="21" spans="1:7" ht="13">
      <c r="A21" s="134" t="s">
        <v>204</v>
      </c>
      <c r="B21" s="72" t="s">
        <v>97</v>
      </c>
      <c r="C21" s="73" t="s">
        <v>364</v>
      </c>
      <c r="D21" s="73" t="s">
        <v>483</v>
      </c>
      <c r="E21" s="73"/>
      <c r="F21" s="73" t="s">
        <v>570</v>
      </c>
      <c r="G21" s="91" t="s">
        <v>366</v>
      </c>
    </row>
    <row r="22" spans="1:7" ht="26.5" customHeight="1">
      <c r="A22" s="135">
        <v>3</v>
      </c>
      <c r="B22" s="92" t="str">
        <f>VLOOKUP(A22,Transp.[],2,FALSE)</f>
        <v>Pasaje terrestre</v>
      </c>
      <c r="C22" s="75" t="s">
        <v>571</v>
      </c>
      <c r="D22" s="76">
        <f>SUM(E8:E10)</f>
        <v>0</v>
      </c>
      <c r="E22" s="76"/>
      <c r="F22" s="94">
        <f>VLOOKUP(A22,Transp.[],6,FALSE)</f>
        <v>0</v>
      </c>
      <c r="G22" s="94">
        <f>D22*F22</f>
        <v>0</v>
      </c>
    </row>
    <row r="23" spans="1:7" ht="13.15" customHeight="1">
      <c r="A23" s="135"/>
      <c r="B23" s="92"/>
      <c r="C23" s="75"/>
      <c r="D23" s="76"/>
      <c r="E23" s="76"/>
      <c r="F23" s="94"/>
      <c r="G23" s="94"/>
    </row>
    <row r="24" spans="1:7" ht="13.15" customHeight="1">
      <c r="A24" s="135"/>
      <c r="B24" s="92"/>
      <c r="C24" s="75"/>
      <c r="D24" s="76"/>
      <c r="E24" s="76"/>
      <c r="F24" s="94"/>
      <c r="G24" s="94"/>
    </row>
    <row r="25" spans="1:7" ht="13">
      <c r="D25" s="82"/>
      <c r="E25" s="82"/>
      <c r="F25" s="96" t="s">
        <v>559</v>
      </c>
      <c r="G25" s="84">
        <f>SUM(G22:G24)</f>
        <v>0</v>
      </c>
    </row>
    <row r="27" spans="1:7" ht="13">
      <c r="B27" s="71" t="s">
        <v>566</v>
      </c>
      <c r="D27" s="97"/>
      <c r="E27" s="97"/>
      <c r="F27" s="98"/>
      <c r="G27" s="90"/>
    </row>
    <row r="28" spans="1:7" s="82" customFormat="1" ht="13">
      <c r="A28" s="134" t="s">
        <v>204</v>
      </c>
      <c r="B28" s="73" t="s">
        <v>97</v>
      </c>
      <c r="C28" s="73" t="s">
        <v>567</v>
      </c>
      <c r="D28" s="73" t="s">
        <v>568</v>
      </c>
      <c r="E28" s="73"/>
      <c r="F28" s="73" t="s">
        <v>99</v>
      </c>
      <c r="G28" s="91" t="s">
        <v>366</v>
      </c>
    </row>
    <row r="29" spans="1:7" ht="14.5">
      <c r="A29" s="135"/>
      <c r="B29" s="99"/>
      <c r="C29" s="100"/>
      <c r="D29" s="87"/>
      <c r="E29" s="87"/>
      <c r="F29" s="106"/>
      <c r="G29" s="86"/>
    </row>
    <row r="30" spans="1:7" ht="14.5">
      <c r="A30" s="135">
        <v>2</v>
      </c>
      <c r="B30" s="99" t="str">
        <f>VLOOKUP(A30,ManoObra[],2,FALSE)</f>
        <v>Ayudante</v>
      </c>
      <c r="C30" s="100">
        <f>VLOOKUP(A30,ManoObra[],8,FALSE)</f>
        <v>0</v>
      </c>
      <c r="D30" s="87">
        <f>+FP!E27</f>
        <v>0</v>
      </c>
      <c r="E30" s="87"/>
      <c r="F30" s="106"/>
      <c r="G30" s="86" t="e">
        <f>ROUND(C30*D30/F30,0)</f>
        <v>#DIV/0!</v>
      </c>
    </row>
    <row r="31" spans="1:7" ht="13">
      <c r="D31" s="82"/>
      <c r="E31" s="82"/>
      <c r="F31" s="96" t="s">
        <v>559</v>
      </c>
      <c r="G31" s="110" t="e">
        <f>SUM(G29:G30)</f>
        <v>#DIV/0!</v>
      </c>
    </row>
    <row r="32" spans="1:7" ht="13">
      <c r="D32" s="82"/>
      <c r="E32" s="82"/>
      <c r="G32" s="90"/>
    </row>
    <row r="33" spans="2:7" ht="12.75" customHeight="1">
      <c r="B33" s="82"/>
      <c r="D33" s="503" t="s">
        <v>569</v>
      </c>
      <c r="E33" s="505"/>
      <c r="F33" s="504"/>
      <c r="G33" s="101" t="e">
        <f>G11+G18+G25+G31</f>
        <v>#DIV/0!</v>
      </c>
    </row>
  </sheetData>
  <mergeCells count="3">
    <mergeCell ref="B1:G1"/>
    <mergeCell ref="B4:E4"/>
    <mergeCell ref="D33:F33"/>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32D0F-24B4-4481-A4DB-A78A172FCFF3}">
  <sheetPr>
    <tabColor theme="4" tint="0.59999389629810485"/>
    <pageSetUpPr fitToPage="1"/>
  </sheetPr>
  <dimension ref="A1:G45"/>
  <sheetViews>
    <sheetView showGridLines="0" view="pageBreakPreview" topLeftCell="A4" zoomScale="80" zoomScaleNormal="120" zoomScaleSheetLayoutView="80" workbookViewId="0">
      <selection activeCell="F26" sqref="F26"/>
    </sheetView>
  </sheetViews>
  <sheetFormatPr baseColWidth="10" defaultColWidth="11.453125" defaultRowHeight="12.5"/>
  <cols>
    <col min="1" max="1" width="11.453125" style="64"/>
    <col min="2" max="2" width="48.26953125" style="64" customWidth="1"/>
    <col min="3" max="3" width="11.453125" style="64"/>
    <col min="4" max="5" width="11.7265625" style="64" customWidth="1"/>
    <col min="6" max="6" width="15" style="64" customWidth="1"/>
    <col min="7" max="7" width="15.26953125" style="64" customWidth="1"/>
    <col min="8" max="8" width="6.26953125" style="64" customWidth="1"/>
    <col min="9" max="9" width="11.453125" style="64"/>
    <col min="10" max="10" width="11.7265625" style="64" bestFit="1" customWidth="1"/>
    <col min="11" max="16384" width="11.453125" style="64"/>
  </cols>
  <sheetData>
    <row r="1" spans="1:7" ht="18.75" customHeight="1">
      <c r="B1" s="499" t="str">
        <f>+'PRESUPUESTO GENERAL SISFV'!A1</f>
        <v>IMPLEMENTACIÓN DE SOLUCIONES ENERGÉTICAS SOSTENIBLES CON FUENTES NO CONVENCIONALES PARA LAS  COMUNIDADES RURALES DEL MUNICIPIO CARTAGENA DEL CHAIRÁ, DEPARTAMENTO DEL CAQUETÁ</v>
      </c>
      <c r="C1" s="499"/>
      <c r="D1" s="499"/>
      <c r="E1" s="499"/>
      <c r="F1" s="499"/>
      <c r="G1" s="499"/>
    </row>
    <row r="3" spans="1:7" ht="12.75" customHeight="1">
      <c r="B3" s="65" t="s">
        <v>556</v>
      </c>
      <c r="C3" s="66" t="str">
        <f>+'PRESUPUESTO GENERAL SISFV'!A21</f>
        <v>3.1</v>
      </c>
      <c r="D3" s="66"/>
      <c r="E3" s="66"/>
      <c r="F3" s="66"/>
      <c r="G3" s="67" t="s">
        <v>557</v>
      </c>
    </row>
    <row r="4" spans="1:7" ht="61.9" customHeight="1">
      <c r="B4" s="500" t="str">
        <f>+'PRESUPUESTO GENERAL SISFV'!B21</f>
        <v>Suministro e instalación de Medidor prepago monofásico bifilar 5 (80) A, 120 V, calibrado. Incluye sistema de  gestión de recaudo y equipos de comunicación standalone.</v>
      </c>
      <c r="C4" s="506"/>
      <c r="D4" s="506"/>
      <c r="E4" s="507"/>
      <c r="G4" s="68" t="str">
        <f>+'PRESUPUESTO GENERAL SISFV'!C21</f>
        <v>UN</v>
      </c>
    </row>
    <row r="5" spans="1:7" ht="13">
      <c r="B5" s="69"/>
      <c r="G5" s="70"/>
    </row>
    <row r="6" spans="1:7" ht="13">
      <c r="B6" s="71" t="s">
        <v>558</v>
      </c>
    </row>
    <row r="7" spans="1:7" ht="13">
      <c r="A7" s="134" t="s">
        <v>204</v>
      </c>
      <c r="B7" s="72" t="s">
        <v>97</v>
      </c>
      <c r="C7" s="73" t="s">
        <v>364</v>
      </c>
      <c r="D7" s="73" t="s">
        <v>126</v>
      </c>
      <c r="E7" s="73" t="s">
        <v>483</v>
      </c>
      <c r="F7" s="73" t="s">
        <v>365</v>
      </c>
      <c r="G7" s="73" t="s">
        <v>366</v>
      </c>
    </row>
    <row r="8" spans="1:7" ht="14.5">
      <c r="A8" s="135">
        <v>342</v>
      </c>
      <c r="B8" s="104" t="str">
        <f>VLOOKUP(A8,Materiales3[],3,FALSE)</f>
        <v>Medidor Prepago 120V 5-80A</v>
      </c>
      <c r="C8" s="75" t="str">
        <f>VLOOKUP(A8,Materiales3[],4,FALSE)</f>
        <v>UN</v>
      </c>
      <c r="D8" s="75">
        <v>1</v>
      </c>
      <c r="E8" s="75">
        <f>VLOOKUP(A8,Materiales3[],5,FALSE)*D8</f>
        <v>0.5</v>
      </c>
      <c r="F8" s="77">
        <f>VLOOKUP(A8,Materiales3[],6,FALSE)</f>
        <v>0</v>
      </c>
      <c r="G8" s="297">
        <f>D8*F8</f>
        <v>0</v>
      </c>
    </row>
    <row r="9" spans="1:7" ht="14.5">
      <c r="A9" s="135">
        <v>392</v>
      </c>
      <c r="B9" s="104" t="str">
        <f>VLOOKUP(A9,Materiales3[],3,FALSE)</f>
        <v>Caja medidor pequeña con interruptor magnetico</v>
      </c>
      <c r="C9" s="75" t="str">
        <f>VLOOKUP(A9,Materiales3[],4,FALSE)</f>
        <v>UN</v>
      </c>
      <c r="D9" s="75">
        <v>1</v>
      </c>
      <c r="E9" s="75">
        <f>VLOOKUP(A9,Materiales3[],5,FALSE)*D9</f>
        <v>0.5</v>
      </c>
      <c r="F9" s="77">
        <f>VLOOKUP(A9,Materiales3[],6,FALSE)</f>
        <v>0</v>
      </c>
      <c r="G9" s="297">
        <f t="shared" ref="G9:G12" si="0">D9*F9</f>
        <v>0</v>
      </c>
    </row>
    <row r="10" spans="1:7" ht="14.5">
      <c r="A10" s="135">
        <v>393</v>
      </c>
      <c r="B10" s="104" t="str">
        <f>VLOOKUP(A10,Materiales3[],3,FALSE)</f>
        <v>Datasol DC Wifi (inlcuye 2 tarjetas Mifare)</v>
      </c>
      <c r="C10" s="75" t="str">
        <f>VLOOKUP(A10,Materiales3[],4,FALSE)</f>
        <v>UN</v>
      </c>
      <c r="D10" s="75">
        <v>1</v>
      </c>
      <c r="E10" s="75">
        <f>VLOOKUP(A10,Materiales3[],5,FALSE)*D10</f>
        <v>0.5</v>
      </c>
      <c r="F10" s="77">
        <f>VLOOKUP(A10,Materiales3[],6,FALSE)</f>
        <v>0</v>
      </c>
      <c r="G10" s="297">
        <f t="shared" si="0"/>
        <v>0</v>
      </c>
    </row>
    <row r="11" spans="1:7" ht="14.5">
      <c r="A11" s="135">
        <v>394</v>
      </c>
      <c r="B11" s="104" t="str">
        <f>VLOOKUP(A11,Materiales3[],3,FALSE)</f>
        <v>Aplicativo servidor de captura datalogger</v>
      </c>
      <c r="C11" s="75" t="str">
        <f>VLOOKUP(A11,Materiales3[],4,FALSE)</f>
        <v>UN</v>
      </c>
      <c r="D11" s="150">
        <f>2/(Usuarios!$C$95)</f>
        <v>2.6490066225165563E-3</v>
      </c>
      <c r="E11" s="150">
        <f>VLOOKUP(A11,Materiales3[],5,FALSE)*D11</f>
        <v>1.3245033112582781E-3</v>
      </c>
      <c r="F11" s="77">
        <f>VLOOKUP(A11,Materiales3[],6,FALSE)</f>
        <v>0</v>
      </c>
      <c r="G11" s="297">
        <f t="shared" si="0"/>
        <v>0</v>
      </c>
    </row>
    <row r="12" spans="1:7" ht="14.5">
      <c r="A12" s="135">
        <v>395</v>
      </c>
      <c r="B12" s="104" t="str">
        <f>VLOOKUP(A12,Materiales3[],3,FALSE)</f>
        <v>App Software Android Lectura informacion medidores</v>
      </c>
      <c r="C12" s="75" t="str">
        <f>VLOOKUP(A12,Materiales3[],4,FALSE)</f>
        <v>UN</v>
      </c>
      <c r="D12" s="150">
        <f>2/(Usuarios!$C$95)</f>
        <v>2.6490066225165563E-3</v>
      </c>
      <c r="E12" s="150">
        <f>VLOOKUP(A12,Materiales3[],5,FALSE)*D12</f>
        <v>1.3245033112582781E-3</v>
      </c>
      <c r="F12" s="77">
        <f>VLOOKUP(A12,Materiales3[],6,FALSE)</f>
        <v>0</v>
      </c>
      <c r="G12" s="297">
        <f t="shared" si="0"/>
        <v>0</v>
      </c>
    </row>
    <row r="13" spans="1:7" ht="14.5">
      <c r="A13" s="135">
        <v>343</v>
      </c>
      <c r="B13" s="104" t="str">
        <f>VLOOKUP(A13,Materiales3[],3,FALSE)</f>
        <v xml:space="preserve">Plataforma de Recaudo </v>
      </c>
      <c r="C13" s="75" t="str">
        <f>VLOOKUP(A13,Materiales3[],4,FALSE)</f>
        <v>UN</v>
      </c>
      <c r="D13" s="150">
        <f>2/(Usuarios!$C$95)</f>
        <v>2.6490066225165563E-3</v>
      </c>
      <c r="E13" s="150">
        <f>VLOOKUP(A13,Materiales3[],5,FALSE)*D13</f>
        <v>1.3245033112582781E-3</v>
      </c>
      <c r="F13" s="77">
        <f>VLOOKUP(A13,Materiales3[],6,FALSE)</f>
        <v>0</v>
      </c>
      <c r="G13" s="297">
        <f t="shared" ref="G13:G21" si="1">D13*F13</f>
        <v>0</v>
      </c>
    </row>
    <row r="14" spans="1:7" ht="14.5">
      <c r="A14" s="135">
        <v>344</v>
      </c>
      <c r="B14" s="104" t="str">
        <f>VLOOKUP(A14,Materiales3[],3,FALSE)</f>
        <v>Datafono Telpo  Local</v>
      </c>
      <c r="C14" s="75" t="str">
        <f>VLOOKUP(A14,Materiales3[],4,FALSE)</f>
        <v>UN</v>
      </c>
      <c r="D14" s="150">
        <f>12/(Usuarios!$C$95)</f>
        <v>1.5894039735099338E-2</v>
      </c>
      <c r="E14" s="150">
        <f>VLOOKUP(A14,Materiales3[],5,FALSE)*D14</f>
        <v>7.9470198675496689E-3</v>
      </c>
      <c r="F14" s="77">
        <f>VLOOKUP(A14,Materiales3[],6,FALSE)</f>
        <v>0</v>
      </c>
      <c r="G14" s="297">
        <f t="shared" si="1"/>
        <v>0</v>
      </c>
    </row>
    <row r="15" spans="1:7" ht="14.5">
      <c r="A15" s="135">
        <v>345</v>
      </c>
      <c r="B15" s="104" t="str">
        <f>VLOOKUP(A15,Materiales3[],3,FALSE)</f>
        <v xml:space="preserve"> Software Datafono Telpo Local</v>
      </c>
      <c r="C15" s="75" t="str">
        <f>VLOOKUP(A15,Materiales3[],4,FALSE)</f>
        <v>UN</v>
      </c>
      <c r="D15" s="150">
        <f>1/(Usuarios!$C$95)</f>
        <v>1.3245033112582781E-3</v>
      </c>
      <c r="E15" s="150">
        <f>VLOOKUP(A15,Materiales3[],5,FALSE)*D15</f>
        <v>0</v>
      </c>
      <c r="F15" s="77">
        <f>VLOOKUP(A15,Materiales3[],6,FALSE)</f>
        <v>0</v>
      </c>
      <c r="G15" s="297">
        <f t="shared" ref="G15" si="2">D15*F15</f>
        <v>0</v>
      </c>
    </row>
    <row r="16" spans="1:7" ht="14.5">
      <c r="A16" s="135">
        <v>346</v>
      </c>
      <c r="B16" s="104" t="str">
        <f>VLOOKUP(A16,Materiales3[],3,FALSE)</f>
        <v>Datafono Telpo  Viajero</v>
      </c>
      <c r="C16" s="75" t="str">
        <f>VLOOKUP(A16,Materiales3[],4,FALSE)</f>
        <v>UN</v>
      </c>
      <c r="D16" s="150">
        <f>12/(Usuarios!$C$95)</f>
        <v>1.5894039735099338E-2</v>
      </c>
      <c r="E16" s="150">
        <f>VLOOKUP(A16,Materiales3[],5,FALSE)*D16</f>
        <v>7.9470198675496689E-3</v>
      </c>
      <c r="F16" s="77">
        <f>VLOOKUP(A16,Materiales3[],6,FALSE)</f>
        <v>0</v>
      </c>
      <c r="G16" s="297">
        <f t="shared" si="1"/>
        <v>0</v>
      </c>
    </row>
    <row r="17" spans="1:7" ht="14.5">
      <c r="A17" s="135">
        <v>347</v>
      </c>
      <c r="B17" s="104" t="str">
        <f>VLOOKUP(A17,Materiales3[],3,FALSE)</f>
        <v xml:space="preserve"> Software Datafono Telpo Viajero</v>
      </c>
      <c r="C17" s="75" t="str">
        <f>VLOOKUP(A17,Materiales3[],4,FALSE)</f>
        <v>UN</v>
      </c>
      <c r="D17" s="150">
        <f>1/(Usuarios!$C$95)</f>
        <v>1.3245033112582781E-3</v>
      </c>
      <c r="E17" s="150">
        <f>VLOOKUP(A17,Materiales3[],5,FALSE)*D17</f>
        <v>0</v>
      </c>
      <c r="F17" s="77">
        <f>VLOOKUP(A17,Materiales3[],6,FALSE)</f>
        <v>0</v>
      </c>
      <c r="G17" s="297">
        <f t="shared" ref="G17" si="3">D17*F17</f>
        <v>0</v>
      </c>
    </row>
    <row r="18" spans="1:7" ht="14.5">
      <c r="A18" s="135">
        <v>348</v>
      </c>
      <c r="B18" s="104" t="str">
        <f>VLOOKUP(A18,Materiales3[],3,FALSE)</f>
        <v>Servidor (Pantalla-Teclado-Mouse)</v>
      </c>
      <c r="C18" s="75" t="str">
        <f>VLOOKUP(A18,Materiales3[],4,FALSE)</f>
        <v>UN</v>
      </c>
      <c r="D18" s="150">
        <f>1/(Usuarios!$C$95)</f>
        <v>1.3245033112582781E-3</v>
      </c>
      <c r="E18" s="150">
        <f>VLOOKUP(A18,Materiales3[],5,FALSE)*D18</f>
        <v>6.6225165562913907E-4</v>
      </c>
      <c r="F18" s="77">
        <f>VLOOKUP(A18,Materiales3[],6,FALSE)</f>
        <v>0</v>
      </c>
      <c r="G18" s="77">
        <f t="shared" si="1"/>
        <v>0</v>
      </c>
    </row>
    <row r="19" spans="1:7" ht="14.5">
      <c r="A19" s="135">
        <v>349</v>
      </c>
      <c r="B19" s="104" t="str">
        <f>VLOOKUP(A19,Materiales3[],3,FALSE)</f>
        <v>UPS  Servidor</v>
      </c>
      <c r="C19" s="75" t="str">
        <f>VLOOKUP(A19,Materiales3[],4,FALSE)</f>
        <v>UN</v>
      </c>
      <c r="D19" s="150">
        <f>1/(Usuarios!$C$95)</f>
        <v>1.3245033112582781E-3</v>
      </c>
      <c r="E19" s="150">
        <f>VLOOKUP(A19,Materiales3[],5,FALSE)*D19</f>
        <v>6.6225165562913907E-4</v>
      </c>
      <c r="F19" s="77">
        <f>VLOOKUP(A19,Materiales3[],6,FALSE)</f>
        <v>0</v>
      </c>
      <c r="G19" s="77">
        <f t="shared" si="1"/>
        <v>0</v>
      </c>
    </row>
    <row r="20" spans="1:7" ht="14.5">
      <c r="A20" s="135">
        <v>350</v>
      </c>
      <c r="B20" s="104" t="str">
        <f>VLOOKUP(A20,Materiales3[],3,FALSE)</f>
        <v>Entrenamiento y puesta en marcha plataforma (virtual)</v>
      </c>
      <c r="C20" s="75" t="str">
        <f>VLOOKUP(A20,Materiales3[],4,FALSE)</f>
        <v>UN</v>
      </c>
      <c r="D20" s="150">
        <f>12/(Usuarios!$C$95)</f>
        <v>1.5894039735099338E-2</v>
      </c>
      <c r="E20" s="150">
        <f>VLOOKUP(A20,Materiales3[],5,FALSE)*D20</f>
        <v>7.9470198675496689E-3</v>
      </c>
      <c r="F20" s="77">
        <f>VLOOKUP(A20,Materiales3[],6,FALSE)</f>
        <v>0</v>
      </c>
      <c r="G20" s="77">
        <f t="shared" si="1"/>
        <v>0</v>
      </c>
    </row>
    <row r="21" spans="1:7" ht="25">
      <c r="A21" s="135">
        <v>351</v>
      </c>
      <c r="B21" s="104" t="str">
        <f>VLOOKUP(A21,Materiales3[],3,FALSE)</f>
        <v>Entrenamiento y puesta en marcha servidor de captura (virtual)</v>
      </c>
      <c r="C21" s="75" t="str">
        <f>VLOOKUP(A21,Materiales3[],4,FALSE)</f>
        <v>UN</v>
      </c>
      <c r="D21" s="150">
        <f>12/(Usuarios!$C$95)</f>
        <v>1.5894039735099338E-2</v>
      </c>
      <c r="E21" s="150">
        <f>VLOOKUP(A21,Materiales3[],5,FALSE)*D21</f>
        <v>7.9470198675496689E-3</v>
      </c>
      <c r="F21" s="77">
        <f>VLOOKUP(A21,Materiales3[],6,FALSE)</f>
        <v>0</v>
      </c>
      <c r="G21" s="77">
        <f t="shared" si="1"/>
        <v>0</v>
      </c>
    </row>
    <row r="22" spans="1:7" ht="13">
      <c r="D22" s="82"/>
      <c r="E22" s="82"/>
      <c r="F22" s="83" t="s">
        <v>559</v>
      </c>
      <c r="G22" s="84">
        <f>SUM(G8:G21)</f>
        <v>0</v>
      </c>
    </row>
    <row r="23" spans="1:7">
      <c r="G23" s="108"/>
    </row>
    <row r="24" spans="1:7" ht="13">
      <c r="B24" s="85" t="s">
        <v>560</v>
      </c>
      <c r="G24" s="109"/>
    </row>
    <row r="25" spans="1:7" ht="13">
      <c r="A25" s="134" t="s">
        <v>204</v>
      </c>
      <c r="B25" s="72" t="s">
        <v>97</v>
      </c>
      <c r="C25" s="73" t="s">
        <v>2</v>
      </c>
      <c r="D25" s="73" t="s">
        <v>561</v>
      </c>
      <c r="E25" s="73"/>
      <c r="F25" s="73" t="s">
        <v>99</v>
      </c>
      <c r="G25" s="73" t="s">
        <v>366</v>
      </c>
    </row>
    <row r="26" spans="1:7" ht="14.5">
      <c r="A26" s="135">
        <v>1</v>
      </c>
      <c r="B26" s="78" t="str">
        <f>VLOOKUP(A26,Equipoyherramienta[],2,FALSE)</f>
        <v>Herramienta menor</v>
      </c>
      <c r="C26" s="79" t="str">
        <f>VLOOKUP(A26,Equipoyherramienta[],3,FALSE)</f>
        <v>UN</v>
      </c>
      <c r="D26" s="86">
        <f>VLOOKUP(A26,Equipoyherramienta[],4,FALSE)</f>
        <v>0</v>
      </c>
      <c r="E26" s="86"/>
      <c r="F26" s="106"/>
      <c r="G26" s="86" t="e">
        <f>ROUND(D26/F26,0)</f>
        <v>#DIV/0!</v>
      </c>
    </row>
    <row r="27" spans="1:7">
      <c r="B27" s="78"/>
      <c r="C27" s="79"/>
      <c r="D27" s="81"/>
      <c r="E27" s="81"/>
      <c r="F27" s="87"/>
      <c r="G27" s="88"/>
    </row>
    <row r="28" spans="1:7">
      <c r="B28" s="78"/>
      <c r="C28" s="79"/>
      <c r="D28" s="81"/>
      <c r="E28" s="81"/>
      <c r="F28" s="87"/>
      <c r="G28" s="88"/>
    </row>
    <row r="29" spans="1:7" ht="13">
      <c r="D29" s="82"/>
      <c r="E29" s="82"/>
      <c r="F29" s="83" t="s">
        <v>559</v>
      </c>
      <c r="G29" s="84" t="e">
        <f>SUM(G26:G28)</f>
        <v>#DIV/0!</v>
      </c>
    </row>
    <row r="30" spans="1:7" ht="13">
      <c r="D30" s="82"/>
      <c r="E30" s="82"/>
      <c r="F30" s="82"/>
      <c r="G30" s="89"/>
    </row>
    <row r="31" spans="1:7" ht="13">
      <c r="B31" s="71" t="s">
        <v>562</v>
      </c>
      <c r="G31" s="90"/>
    </row>
    <row r="32" spans="1:7" ht="13">
      <c r="A32" s="134" t="s">
        <v>204</v>
      </c>
      <c r="B32" s="72" t="s">
        <v>97</v>
      </c>
      <c r="C32" s="73" t="s">
        <v>364</v>
      </c>
      <c r="D32" s="73" t="s">
        <v>483</v>
      </c>
      <c r="E32" s="73"/>
      <c r="F32" s="73" t="s">
        <v>570</v>
      </c>
      <c r="G32" s="91" t="s">
        <v>366</v>
      </c>
    </row>
    <row r="33" spans="1:7" ht="58.9" customHeight="1">
      <c r="A33" s="135">
        <v>6</v>
      </c>
      <c r="B33" s="92" t="str">
        <f>VLOOKUP(A33,Transp.[],2,FALSE)</f>
        <v>Carga terrestre desde Bogota hasta Usuario, incluye cargues, descargues, cruces de río, transporte semoviente, transporte fluvia, transporte en vehículo de carga pesada y liviano y cualquier otro tranposte.</v>
      </c>
      <c r="C33" s="75" t="s">
        <v>571</v>
      </c>
      <c r="D33" s="76">
        <f>SUM(E8:E21)</f>
        <v>1.5370860927152323</v>
      </c>
      <c r="E33" s="76"/>
      <c r="F33" s="94">
        <f>VLOOKUP(A33,Transp.[],6,FALSE)</f>
        <v>0</v>
      </c>
      <c r="G33" s="94">
        <f>D33*F33</f>
        <v>0</v>
      </c>
    </row>
    <row r="34" spans="1:7" ht="13.15" customHeight="1">
      <c r="A34" s="135"/>
      <c r="B34" s="92"/>
      <c r="C34" s="75"/>
      <c r="D34" s="76"/>
      <c r="E34" s="76"/>
      <c r="F34" s="94"/>
      <c r="G34" s="94"/>
    </row>
    <row r="35" spans="1:7" ht="13.15" customHeight="1">
      <c r="A35" s="135"/>
      <c r="B35" s="92"/>
      <c r="C35" s="75"/>
      <c r="D35" s="76"/>
      <c r="E35" s="76"/>
      <c r="F35" s="94"/>
      <c r="G35" s="94"/>
    </row>
    <row r="36" spans="1:7" ht="13">
      <c r="D36" s="82"/>
      <c r="E36" s="82"/>
      <c r="F36" s="96" t="s">
        <v>559</v>
      </c>
      <c r="G36" s="84">
        <f>SUM(G33:G35)</f>
        <v>0</v>
      </c>
    </row>
    <row r="38" spans="1:7" ht="13">
      <c r="B38" s="71" t="s">
        <v>566</v>
      </c>
      <c r="D38" s="97"/>
      <c r="E38" s="97"/>
      <c r="F38" s="98"/>
      <c r="G38" s="90"/>
    </row>
    <row r="39" spans="1:7" s="82" customFormat="1" ht="13">
      <c r="A39" s="134" t="s">
        <v>204</v>
      </c>
      <c r="B39" s="73" t="s">
        <v>97</v>
      </c>
      <c r="C39" s="73" t="s">
        <v>567</v>
      </c>
      <c r="D39" s="73" t="s">
        <v>568</v>
      </c>
      <c r="E39" s="73"/>
      <c r="F39" s="73" t="s">
        <v>99</v>
      </c>
      <c r="G39" s="91" t="s">
        <v>366</v>
      </c>
    </row>
    <row r="40" spans="1:7" ht="14.5">
      <c r="A40" s="135">
        <v>1</v>
      </c>
      <c r="B40" s="99" t="str">
        <f>VLOOKUP(A40,ManoObra[],2,FALSE)</f>
        <v>Electricista</v>
      </c>
      <c r="C40" s="100">
        <f>VLOOKUP(A40,ManoObra[],8,FALSE)</f>
        <v>0</v>
      </c>
      <c r="D40" s="87">
        <f>+FP!E27</f>
        <v>0</v>
      </c>
      <c r="E40" s="87"/>
      <c r="F40" s="106">
        <f>+F26/2.22544</f>
        <v>0</v>
      </c>
      <c r="G40" s="86" t="e">
        <f>ROUND(C40*D40/F40,0)</f>
        <v>#DIV/0!</v>
      </c>
    </row>
    <row r="41" spans="1:7" ht="14.5">
      <c r="A41" s="135">
        <v>2</v>
      </c>
      <c r="B41" s="99" t="str">
        <f>VLOOKUP(A41,ManoObra[],2,FALSE)</f>
        <v>Ayudante</v>
      </c>
      <c r="C41" s="100">
        <f>VLOOKUP(A41,ManoObra[],8,FALSE)</f>
        <v>0</v>
      </c>
      <c r="D41" s="87">
        <f>+FP!E27</f>
        <v>0</v>
      </c>
      <c r="E41" s="87"/>
      <c r="F41" s="106">
        <f>+F40</f>
        <v>0</v>
      </c>
      <c r="G41" s="86" t="e">
        <f>ROUND(C41*D41/F41,0)</f>
        <v>#DIV/0!</v>
      </c>
    </row>
    <row r="42" spans="1:7" ht="14.5">
      <c r="A42" s="135"/>
      <c r="B42" s="105"/>
      <c r="C42" s="100"/>
      <c r="D42" s="87"/>
      <c r="E42" s="87"/>
      <c r="F42" s="80"/>
      <c r="G42" s="86"/>
    </row>
    <row r="43" spans="1:7" ht="13">
      <c r="D43" s="82"/>
      <c r="E43" s="82"/>
      <c r="F43" s="96" t="s">
        <v>559</v>
      </c>
      <c r="G43" s="110" t="e">
        <f>SUM(G40:G42)</f>
        <v>#DIV/0!</v>
      </c>
    </row>
    <row r="44" spans="1:7" ht="13">
      <c r="D44" s="82"/>
      <c r="E44" s="82"/>
      <c r="G44" s="90"/>
    </row>
    <row r="45" spans="1:7" ht="12.75" customHeight="1">
      <c r="B45" s="82"/>
      <c r="D45" s="503" t="s">
        <v>569</v>
      </c>
      <c r="E45" s="505"/>
      <c r="F45" s="504"/>
      <c r="G45" s="101" t="e">
        <f>G22+G29+G36+G43</f>
        <v>#DIV/0!</v>
      </c>
    </row>
  </sheetData>
  <mergeCells count="3">
    <mergeCell ref="B1:G1"/>
    <mergeCell ref="B4:E4"/>
    <mergeCell ref="D45:F45"/>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252FD-55E2-45E4-9D79-E4CB9F801629}">
  <sheetPr>
    <tabColor theme="4" tint="0.59999389629810485"/>
    <pageSetUpPr fitToPage="1"/>
  </sheetPr>
  <dimension ref="A1:G48"/>
  <sheetViews>
    <sheetView showGridLines="0" view="pageBreakPreview" zoomScale="80" zoomScaleNormal="120" zoomScaleSheetLayoutView="80" workbookViewId="0">
      <selection activeCell="A47" sqref="A4:A47"/>
    </sheetView>
  </sheetViews>
  <sheetFormatPr baseColWidth="10" defaultColWidth="11.453125" defaultRowHeight="12.5"/>
  <cols>
    <col min="1" max="1" width="11.453125" style="64"/>
    <col min="2" max="2" width="48.26953125" style="64" customWidth="1"/>
    <col min="3" max="3" width="11.453125" style="64"/>
    <col min="4" max="5" width="11.7265625" style="64" customWidth="1"/>
    <col min="6" max="6" width="15" style="64" customWidth="1"/>
    <col min="7" max="7" width="15.26953125" style="64" customWidth="1"/>
    <col min="8" max="8" width="6.26953125" style="64" customWidth="1"/>
    <col min="9" max="9" width="11.453125" style="64"/>
    <col min="10" max="10" width="11.7265625" style="64" bestFit="1" customWidth="1"/>
    <col min="11" max="16384" width="11.453125" style="64"/>
  </cols>
  <sheetData>
    <row r="1" spans="1:7" ht="18.75" customHeight="1">
      <c r="B1" s="499" t="str">
        <f>+'PRESUPUESTO GENERAL SISFV'!A1</f>
        <v>IMPLEMENTACIÓN DE SOLUCIONES ENERGÉTICAS SOSTENIBLES CON FUENTES NO CONVENCIONALES PARA LAS  COMUNIDADES RURALES DEL MUNICIPIO CARTAGENA DEL CHAIRÁ, DEPARTAMENTO DEL CAQUETÁ</v>
      </c>
      <c r="C1" s="499"/>
      <c r="D1" s="499"/>
      <c r="E1" s="499"/>
      <c r="F1" s="499"/>
      <c r="G1" s="499"/>
    </row>
    <row r="3" spans="1:7" ht="12.75" customHeight="1">
      <c r="B3" s="65" t="s">
        <v>556</v>
      </c>
      <c r="C3" s="66" t="str">
        <f>+'PRESUPUESTO GENERAL SISFV'!A23</f>
        <v>4.1</v>
      </c>
      <c r="D3" s="66"/>
      <c r="E3" s="66"/>
      <c r="F3" s="66"/>
      <c r="G3" s="67" t="s">
        <v>557</v>
      </c>
    </row>
    <row r="4" spans="1:7" ht="61.15" customHeight="1">
      <c r="B4" s="500" t="str">
        <f>+'PRESUPUESTO GENERAL SISFV'!B23</f>
        <v>Instalaciones Internas  Tipo I que incluyan 4 salidas de alumbrado y 4 tomacorrientes. Se considera implementación de hasta 20 metros de tubería EMT de 3/4" y hasta 66 mts de cable de cobre aislado THHN No. 12 AWG</v>
      </c>
      <c r="C4" s="506"/>
      <c r="D4" s="506"/>
      <c r="E4" s="507"/>
      <c r="G4" s="68" t="str">
        <f>+'PRESUPUESTO GENERAL SISFV'!C23</f>
        <v>UN</v>
      </c>
    </row>
    <row r="5" spans="1:7" ht="13">
      <c r="B5" s="69"/>
      <c r="G5" s="70"/>
    </row>
    <row r="6" spans="1:7" ht="13">
      <c r="B6" s="85" t="s">
        <v>558</v>
      </c>
    </row>
    <row r="7" spans="1:7" ht="13">
      <c r="A7" s="105" t="s">
        <v>204</v>
      </c>
      <c r="B7" s="73" t="s">
        <v>97</v>
      </c>
      <c r="C7" s="73" t="s">
        <v>364</v>
      </c>
      <c r="D7" s="73" t="s">
        <v>126</v>
      </c>
      <c r="E7" s="73" t="s">
        <v>483</v>
      </c>
      <c r="F7" s="73" t="s">
        <v>365</v>
      </c>
      <c r="G7" s="73" t="s">
        <v>366</v>
      </c>
    </row>
    <row r="8" spans="1:7" ht="14.5">
      <c r="A8" s="152">
        <v>118</v>
      </c>
      <c r="B8" s="104" t="str">
        <f>VLOOKUP(A8,Materiales3[],3,FALSE)</f>
        <v>Tablero de distribución 1Ø - 3H de 4 circuitos</v>
      </c>
      <c r="C8" s="75" t="str">
        <f>VLOOKUP(A8,Materiales3[],4,FALSE)</f>
        <v>UN</v>
      </c>
      <c r="D8" s="75">
        <v>1</v>
      </c>
      <c r="E8" s="75">
        <f>VLOOKUP(A8,Materiales3[],5,FALSE)*D8</f>
        <v>1.21</v>
      </c>
      <c r="F8" s="77">
        <f>VLOOKUP(A8,Materiales3[],6,FALSE)</f>
        <v>0</v>
      </c>
      <c r="G8" s="77">
        <f>D8*F8</f>
        <v>0</v>
      </c>
    </row>
    <row r="9" spans="1:7" ht="22.15" customHeight="1">
      <c r="A9" s="152">
        <v>119</v>
      </c>
      <c r="B9" s="104" t="str">
        <f>VLOOKUP(A9,Materiales3[],3,FALSE)</f>
        <v>Interruptor termomagnético enchufable 1 x 20 A, 120 VAC - 10 KA</v>
      </c>
      <c r="C9" s="75" t="str">
        <f>VLOOKUP(A9,Materiales3[],4,FALSE)</f>
        <v>UN</v>
      </c>
      <c r="D9" s="153">
        <v>3</v>
      </c>
      <c r="E9" s="75">
        <f>VLOOKUP(A9,Materiales3[],5,FALSE)*D9</f>
        <v>0.72</v>
      </c>
      <c r="F9" s="77">
        <f>VLOOKUP(A9,Materiales3[],6,FALSE)</f>
        <v>0</v>
      </c>
      <c r="G9" s="77">
        <f t="shared" ref="G9:G24" si="0">D9*F9</f>
        <v>0</v>
      </c>
    </row>
    <row r="10" spans="1:7" ht="14.5">
      <c r="A10" s="152">
        <v>120</v>
      </c>
      <c r="B10" s="104" t="str">
        <f>VLOOKUP(A10,Materiales3[],3,FALSE)</f>
        <v>Caja PVC 4" x 4" con tapa lisa</v>
      </c>
      <c r="C10" s="75" t="str">
        <f>VLOOKUP(A10,Materiales3[],4,FALSE)</f>
        <v>UN</v>
      </c>
      <c r="D10" s="153">
        <v>2</v>
      </c>
      <c r="E10" s="75">
        <f>VLOOKUP(A10,Materiales3[],5,FALSE)*D10</f>
        <v>0.13600000000000001</v>
      </c>
      <c r="F10" s="77">
        <f>VLOOKUP(A10,Materiales3[],6,FALSE)</f>
        <v>0</v>
      </c>
      <c r="G10" s="77">
        <f t="shared" si="0"/>
        <v>0</v>
      </c>
    </row>
    <row r="11" spans="1:7" ht="14.5">
      <c r="A11" s="152">
        <v>121</v>
      </c>
      <c r="B11" s="104" t="str">
        <f>VLOOKUP(A11,Materiales3[],3,FALSE)</f>
        <v>Plafón de losa</v>
      </c>
      <c r="C11" s="75" t="str">
        <f>VLOOKUP(A11,Materiales3[],4,FALSE)</f>
        <v>UN</v>
      </c>
      <c r="D11" s="153">
        <v>4</v>
      </c>
      <c r="E11" s="75">
        <f>VLOOKUP(A11,Materiales3[],5,FALSE)*D11</f>
        <v>0.23599999999999999</v>
      </c>
      <c r="F11" s="77">
        <f>VLOOKUP(A11,Materiales3[],6,FALSE)</f>
        <v>0</v>
      </c>
      <c r="G11" s="77">
        <f t="shared" si="0"/>
        <v>0</v>
      </c>
    </row>
    <row r="12" spans="1:7" ht="14.5">
      <c r="A12" s="152">
        <v>122</v>
      </c>
      <c r="B12" s="104" t="str">
        <f>VLOOKUP(A12,Materiales3[],3,FALSE)</f>
        <v>Interruptor sencillo</v>
      </c>
      <c r="C12" s="75" t="str">
        <f>VLOOKUP(A12,Materiales3[],4,FALSE)</f>
        <v>UN</v>
      </c>
      <c r="D12" s="153">
        <v>4</v>
      </c>
      <c r="E12" s="75">
        <f>VLOOKUP(A12,Materiales3[],5,FALSE)*D12</f>
        <v>0.12</v>
      </c>
      <c r="F12" s="77">
        <f>VLOOKUP(A12,Materiales3[],6,FALSE)</f>
        <v>0</v>
      </c>
      <c r="G12" s="77">
        <f t="shared" si="0"/>
        <v>0</v>
      </c>
    </row>
    <row r="13" spans="1:7" ht="14.5">
      <c r="A13" s="152">
        <v>123</v>
      </c>
      <c r="B13" s="104" t="str">
        <f>VLOOKUP(A13,Materiales3[],3,FALSE)</f>
        <v>Conector tipo resorte No 12 AWG</v>
      </c>
      <c r="C13" s="75" t="str">
        <f>VLOOKUP(A13,Materiales3[],4,FALSE)</f>
        <v>UN</v>
      </c>
      <c r="D13" s="153">
        <v>21</v>
      </c>
      <c r="E13" s="75">
        <f>VLOOKUP(A13,Materiales3[],5,FALSE)*D13</f>
        <v>0.21</v>
      </c>
      <c r="F13" s="77">
        <f>VLOOKUP(A13,Materiales3[],6,FALSE)</f>
        <v>0</v>
      </c>
      <c r="G13" s="77">
        <f t="shared" si="0"/>
        <v>0</v>
      </c>
    </row>
    <row r="14" spans="1:7" ht="14.5">
      <c r="A14" s="152">
        <v>124</v>
      </c>
      <c r="B14" s="104" t="str">
        <f>VLOOKUP(A14,Materiales3[],3,FALSE)</f>
        <v>Cable Cu THHN 12 AWG</v>
      </c>
      <c r="C14" s="75" t="str">
        <f>VLOOKUP(A14,Materiales3[],4,FALSE)</f>
        <v>ML</v>
      </c>
      <c r="D14" s="153">
        <f>22*3</f>
        <v>66</v>
      </c>
      <c r="E14" s="75">
        <f>VLOOKUP(A14,Materiales3[],5,FALSE)*D14</f>
        <v>2.2440000000000002</v>
      </c>
      <c r="F14" s="77">
        <f>VLOOKUP(A14,Materiales3[],6,FALSE)</f>
        <v>0</v>
      </c>
      <c r="G14" s="77">
        <f t="shared" si="0"/>
        <v>0</v>
      </c>
    </row>
    <row r="15" spans="1:7" ht="14.5">
      <c r="A15" s="152">
        <v>125</v>
      </c>
      <c r="B15" s="104" t="str">
        <f>VLOOKUP(A15,Materiales3[],3,FALSE)</f>
        <v>Tornillo metálico galvanizado 1/4" x 1" con arandela</v>
      </c>
      <c r="C15" s="75" t="str">
        <f>VLOOKUP(A15,Materiales3[],4,FALSE)</f>
        <v>UN</v>
      </c>
      <c r="D15" s="153">
        <v>80</v>
      </c>
      <c r="E15" s="75">
        <f>VLOOKUP(A15,Materiales3[],5,FALSE)*D15</f>
        <v>0.08</v>
      </c>
      <c r="F15" s="77">
        <f>VLOOKUP(A15,Materiales3[],6,FALSE)</f>
        <v>0</v>
      </c>
      <c r="G15" s="77">
        <f t="shared" si="0"/>
        <v>0</v>
      </c>
    </row>
    <row r="16" spans="1:7" ht="14.5">
      <c r="A16" s="152">
        <v>126</v>
      </c>
      <c r="B16" s="104" t="str">
        <f>VLOOKUP(A16,Materiales3[],3,FALSE)</f>
        <v>Caja PVC Octagonal</v>
      </c>
      <c r="C16" s="75" t="str">
        <f>VLOOKUP(A16,Materiales3[],4,FALSE)</f>
        <v>UN</v>
      </c>
      <c r="D16" s="153">
        <v>4</v>
      </c>
      <c r="E16" s="75">
        <f>VLOOKUP(A16,Materiales3[],5,FALSE)*D16</f>
        <v>0.2</v>
      </c>
      <c r="F16" s="77">
        <f>VLOOKUP(A16,Materiales3[],6,FALSE)</f>
        <v>0</v>
      </c>
      <c r="G16" s="77">
        <f t="shared" si="0"/>
        <v>0</v>
      </c>
    </row>
    <row r="17" spans="1:7" ht="14.5">
      <c r="A17" s="152">
        <v>81</v>
      </c>
      <c r="B17" s="104" t="str">
        <f>VLOOKUP(A17,Materiales3[],3,FALSE)</f>
        <v>Abrazadera metálica galvanizada doble ala 3/4"</v>
      </c>
      <c r="C17" s="75" t="str">
        <f>VLOOKUP(A17,Materiales3[],4,FALSE)</f>
        <v>UN</v>
      </c>
      <c r="D17" s="153">
        <v>40</v>
      </c>
      <c r="E17" s="75">
        <f>VLOOKUP(A17,Materiales3[],5,FALSE)*D17</f>
        <v>2</v>
      </c>
      <c r="F17" s="77">
        <f>VLOOKUP(A17,Materiales3[],6,FALSE)</f>
        <v>0</v>
      </c>
      <c r="G17" s="77">
        <f t="shared" si="0"/>
        <v>0</v>
      </c>
    </row>
    <row r="18" spans="1:7" ht="14.5">
      <c r="A18" s="152">
        <v>66</v>
      </c>
      <c r="B18" s="104" t="str">
        <f>VLOOKUP(A18,Materiales3[],3,FALSE)</f>
        <v>Caja PVC 2" x 4"</v>
      </c>
      <c r="C18" s="75" t="str">
        <f>VLOOKUP(A18,Materiales3[],4,FALSE)</f>
        <v>UN</v>
      </c>
      <c r="D18" s="153">
        <v>8</v>
      </c>
      <c r="E18" s="75">
        <f>VLOOKUP(A18,Materiales3[],5,FALSE)*D18</f>
        <v>0.08</v>
      </c>
      <c r="F18" s="77">
        <f>VLOOKUP(A18,Materiales3[],6,FALSE)</f>
        <v>0</v>
      </c>
      <c r="G18" s="77">
        <f t="shared" si="0"/>
        <v>0</v>
      </c>
    </row>
    <row r="19" spans="1:7" ht="14.5">
      <c r="A19" s="152">
        <v>174</v>
      </c>
      <c r="B19" s="104" t="str">
        <f>VLOOKUP(A19,Materiales3[],3,FALSE)</f>
        <v>Barraje de cobre tropicalizado de 30 A para 6 conexiones</v>
      </c>
      <c r="C19" s="75" t="str">
        <f>VLOOKUP(A19,Materiales3[],4,FALSE)</f>
        <v>UN</v>
      </c>
      <c r="D19" s="153">
        <v>1</v>
      </c>
      <c r="E19" s="75">
        <f>VLOOKUP(A19,Materiales3[],5,FALSE)*D19</f>
        <v>0.2</v>
      </c>
      <c r="F19" s="77">
        <f>VLOOKUP(A19,Materiales3[],6,FALSE)</f>
        <v>0</v>
      </c>
      <c r="G19" s="77">
        <f t="shared" si="0"/>
        <v>0</v>
      </c>
    </row>
    <row r="20" spans="1:7" ht="14.5">
      <c r="A20" s="152">
        <v>65</v>
      </c>
      <c r="B20" s="104" t="str">
        <f>VLOOKUP(A20,Materiales3[],3,FALSE)</f>
        <v>Tomacorriente doble con polo a tierra</v>
      </c>
      <c r="C20" s="75" t="str">
        <f>VLOOKUP(A20,Materiales3[],4,FALSE)</f>
        <v>UN</v>
      </c>
      <c r="D20" s="153">
        <v>4</v>
      </c>
      <c r="E20" s="75">
        <f>VLOOKUP(A20,Materiales3[],5,FALSE)*D20</f>
        <v>0.04</v>
      </c>
      <c r="F20" s="77">
        <f>VLOOKUP(A20,Materiales3[],6,FALSE)</f>
        <v>0</v>
      </c>
      <c r="G20" s="77">
        <f t="shared" si="0"/>
        <v>0</v>
      </c>
    </row>
    <row r="21" spans="1:7" ht="14.5">
      <c r="A21" s="152">
        <v>133</v>
      </c>
      <c r="B21" s="104" t="str">
        <f>VLOOKUP(A21,Materiales3[],3,FALSE)</f>
        <v>Uniones, curvas y terminales IMC. Varios calibres</v>
      </c>
      <c r="C21" s="75" t="str">
        <f>VLOOKUP(A21,Materiales3[],4,FALSE)</f>
        <v>UN</v>
      </c>
      <c r="D21" s="153">
        <v>2</v>
      </c>
      <c r="E21" s="75">
        <f>VLOOKUP(A21,Materiales3[],5,FALSE)*D21</f>
        <v>0.36</v>
      </c>
      <c r="F21" s="77">
        <f>VLOOKUP(A21,Materiales3[],6,FALSE)</f>
        <v>0</v>
      </c>
      <c r="G21" s="77">
        <f t="shared" si="0"/>
        <v>0</v>
      </c>
    </row>
    <row r="22" spans="1:7" ht="14.5">
      <c r="A22" s="152">
        <v>405</v>
      </c>
      <c r="B22" s="104" t="str">
        <f>VLOOKUP(A22,Materiales3[],3,FALSE)</f>
        <v>Tubo conduit metalico EMT 3/4"</v>
      </c>
      <c r="C22" s="75" t="str">
        <f>VLOOKUP(A22,Materiales3[],4,FALSE)</f>
        <v>ML</v>
      </c>
      <c r="D22" s="153">
        <v>20</v>
      </c>
      <c r="E22" s="75">
        <f>VLOOKUP(A22,Materiales3[],5,FALSE)*D22</f>
        <v>13.799999999999999</v>
      </c>
      <c r="F22" s="77">
        <f>VLOOKUP(A22,Materiales3[],6,FALSE)</f>
        <v>0</v>
      </c>
      <c r="G22" s="77">
        <f t="shared" si="0"/>
        <v>0</v>
      </c>
    </row>
    <row r="23" spans="1:7" ht="14.5">
      <c r="A23" s="152">
        <v>406</v>
      </c>
      <c r="B23" s="104" t="str">
        <f>VLOOKUP(A23,Materiales3[],3,FALSE)</f>
        <v>Unión conduit metalica EMT 3/4"</v>
      </c>
      <c r="C23" s="75" t="str">
        <f>VLOOKUP(A23,Materiales3[],4,FALSE)</f>
        <v>UN</v>
      </c>
      <c r="D23" s="153">
        <v>8</v>
      </c>
      <c r="E23" s="75">
        <f>VLOOKUP(A23,Materiales3[],5,FALSE)*D23</f>
        <v>0.46400000000000002</v>
      </c>
      <c r="F23" s="77">
        <f>VLOOKUP(A23,Materiales3[],6,FALSE)</f>
        <v>0</v>
      </c>
      <c r="G23" s="77">
        <f t="shared" si="0"/>
        <v>0</v>
      </c>
    </row>
    <row r="24" spans="1:7" ht="14.5">
      <c r="A24" s="152">
        <v>407</v>
      </c>
      <c r="B24" s="104" t="str">
        <f>VLOOKUP(A24,Materiales3[],3,FALSE)</f>
        <v>Terminal conduit metalica EMT 3/4"</v>
      </c>
      <c r="C24" s="75" t="str">
        <f>VLOOKUP(A24,Materiales3[],4,FALSE)</f>
        <v>UN</v>
      </c>
      <c r="D24" s="153">
        <v>24</v>
      </c>
      <c r="E24" s="75">
        <f>VLOOKUP(A24,Materiales3[],5,FALSE)*D24</f>
        <v>1.3920000000000001</v>
      </c>
      <c r="F24" s="77">
        <f>VLOOKUP(A24,Materiales3[],6,FALSE)</f>
        <v>0</v>
      </c>
      <c r="G24" s="77">
        <f t="shared" si="0"/>
        <v>0</v>
      </c>
    </row>
    <row r="25" spans="1:7" ht="13">
      <c r="D25" s="82"/>
      <c r="E25" s="82"/>
      <c r="F25" s="96" t="s">
        <v>559</v>
      </c>
      <c r="G25" s="110">
        <f>SUM(G8:G24)</f>
        <v>0</v>
      </c>
    </row>
    <row r="26" spans="1:7">
      <c r="G26" s="108"/>
    </row>
    <row r="27" spans="1:7" ht="13">
      <c r="B27" s="85" t="s">
        <v>560</v>
      </c>
      <c r="G27" s="109"/>
    </row>
    <row r="28" spans="1:7" ht="13">
      <c r="A28" s="134" t="s">
        <v>204</v>
      </c>
      <c r="B28" s="72" t="s">
        <v>97</v>
      </c>
      <c r="C28" s="73" t="s">
        <v>2</v>
      </c>
      <c r="D28" s="73" t="s">
        <v>561</v>
      </c>
      <c r="E28" s="73"/>
      <c r="F28" s="73" t="s">
        <v>99</v>
      </c>
      <c r="G28" s="73" t="s">
        <v>366</v>
      </c>
    </row>
    <row r="29" spans="1:7" ht="14.5">
      <c r="A29" s="135">
        <v>1</v>
      </c>
      <c r="B29" s="78" t="str">
        <f>VLOOKUP(A29,Equipoyherramienta[],2,FALSE)</f>
        <v>Herramienta menor</v>
      </c>
      <c r="C29" s="79" t="str">
        <f>VLOOKUP(A29,Equipoyherramienta[],3,FALSE)</f>
        <v>UN</v>
      </c>
      <c r="D29" s="86">
        <f>VLOOKUP(A29,Equipoyherramienta[],4,FALSE)</f>
        <v>0</v>
      </c>
      <c r="E29" s="86"/>
      <c r="F29" s="106"/>
      <c r="G29" s="86" t="e">
        <f>ROUND(D29/F29,0)</f>
        <v>#DIV/0!</v>
      </c>
    </row>
    <row r="30" spans="1:7">
      <c r="B30" s="78"/>
      <c r="C30" s="79"/>
      <c r="D30" s="81"/>
      <c r="E30" s="81"/>
      <c r="F30" s="87"/>
      <c r="G30" s="88"/>
    </row>
    <row r="31" spans="1:7">
      <c r="B31" s="78"/>
      <c r="C31" s="79"/>
      <c r="D31" s="81"/>
      <c r="E31" s="81"/>
      <c r="F31" s="87"/>
      <c r="G31" s="88"/>
    </row>
    <row r="32" spans="1:7" ht="13">
      <c r="D32" s="82"/>
      <c r="E32" s="82"/>
      <c r="F32" s="83" t="s">
        <v>559</v>
      </c>
      <c r="G32" s="84" t="e">
        <f>SUM(G29:G31)</f>
        <v>#DIV/0!</v>
      </c>
    </row>
    <row r="33" spans="1:7" ht="13">
      <c r="D33" s="82"/>
      <c r="E33" s="82"/>
      <c r="F33" s="82"/>
      <c r="G33" s="89"/>
    </row>
    <row r="34" spans="1:7" ht="13">
      <c r="B34" s="71" t="s">
        <v>562</v>
      </c>
      <c r="G34" s="90"/>
    </row>
    <row r="35" spans="1:7" ht="13">
      <c r="A35" s="134" t="s">
        <v>204</v>
      </c>
      <c r="B35" s="72" t="s">
        <v>97</v>
      </c>
      <c r="C35" s="73" t="s">
        <v>364</v>
      </c>
      <c r="D35" s="73" t="s">
        <v>483</v>
      </c>
      <c r="E35" s="73"/>
      <c r="F35" s="73" t="s">
        <v>570</v>
      </c>
      <c r="G35" s="91" t="s">
        <v>366</v>
      </c>
    </row>
    <row r="36" spans="1:7" ht="26.5" customHeight="1">
      <c r="A36" s="135">
        <v>6</v>
      </c>
      <c r="B36" s="92" t="str">
        <f>VLOOKUP(A36,Transp.[],2,FALSE)</f>
        <v>Carga terrestre desde Bogota hasta Usuario, incluye cargues, descargues, cruces de río, transporte semoviente, transporte fluvia, transporte en vehículo de carga pesada y liviano y cualquier otro tranposte.</v>
      </c>
      <c r="C36" s="75" t="s">
        <v>571</v>
      </c>
      <c r="D36" s="76">
        <f>SUM(E8:E24)</f>
        <v>23.491999999999997</v>
      </c>
      <c r="E36" s="76"/>
      <c r="F36" s="94">
        <f>VLOOKUP(A36,Transp.[],6,FALSE)</f>
        <v>0</v>
      </c>
      <c r="G36" s="94">
        <f>D36*F36</f>
        <v>0</v>
      </c>
    </row>
    <row r="37" spans="1:7" ht="13.15" customHeight="1">
      <c r="A37" s="135"/>
      <c r="B37" s="92"/>
      <c r="C37" s="75"/>
      <c r="D37" s="76"/>
      <c r="E37" s="76"/>
      <c r="F37" s="94"/>
      <c r="G37" s="94"/>
    </row>
    <row r="38" spans="1:7" ht="13.15" customHeight="1">
      <c r="A38" s="135"/>
      <c r="B38" s="92"/>
      <c r="C38" s="75"/>
      <c r="D38" s="76"/>
      <c r="E38" s="76"/>
      <c r="F38" s="94"/>
      <c r="G38" s="94"/>
    </row>
    <row r="39" spans="1:7" ht="13">
      <c r="D39" s="82"/>
      <c r="E39" s="82"/>
      <c r="F39" s="96" t="s">
        <v>559</v>
      </c>
      <c r="G39" s="84">
        <f>SUM(G36:G38)</f>
        <v>0</v>
      </c>
    </row>
    <row r="41" spans="1:7" ht="13">
      <c r="B41" s="71" t="s">
        <v>566</v>
      </c>
      <c r="D41" s="97"/>
      <c r="E41" s="97"/>
      <c r="F41" s="98"/>
      <c r="G41" s="90"/>
    </row>
    <row r="42" spans="1:7" s="82" customFormat="1" ht="13">
      <c r="A42" s="134" t="s">
        <v>204</v>
      </c>
      <c r="B42" s="73" t="s">
        <v>97</v>
      </c>
      <c r="C42" s="73" t="s">
        <v>567</v>
      </c>
      <c r="D42" s="73" t="s">
        <v>568</v>
      </c>
      <c r="E42" s="73"/>
      <c r="F42" s="73" t="s">
        <v>99</v>
      </c>
      <c r="G42" s="91" t="s">
        <v>366</v>
      </c>
    </row>
    <row r="43" spans="1:7" ht="14.5">
      <c r="A43" s="135">
        <v>1</v>
      </c>
      <c r="B43" s="99" t="str">
        <f>VLOOKUP(A43,ManoObra[],2,FALSE)</f>
        <v>Electricista</v>
      </c>
      <c r="C43" s="100">
        <f>VLOOKUP(A43,ManoObra[],8,FALSE)</f>
        <v>0</v>
      </c>
      <c r="D43" s="87">
        <f>+FP!E27</f>
        <v>0</v>
      </c>
      <c r="E43" s="87"/>
      <c r="F43" s="106">
        <f>F29</f>
        <v>0</v>
      </c>
      <c r="G43" s="86" t="e">
        <f>ROUND(C43*D43/F43,0)</f>
        <v>#DIV/0!</v>
      </c>
    </row>
    <row r="44" spans="1:7" ht="14.5">
      <c r="A44" s="135">
        <v>2</v>
      </c>
      <c r="B44" s="99" t="str">
        <f>VLOOKUP(A44,ManoObra[],2,FALSE)</f>
        <v>Ayudante</v>
      </c>
      <c r="C44" s="100">
        <f>VLOOKUP(A44,ManoObra[],8,FALSE)</f>
        <v>0</v>
      </c>
      <c r="D44" s="87">
        <f>+FP!E27</f>
        <v>0</v>
      </c>
      <c r="E44" s="87"/>
      <c r="F44" s="106">
        <f>F29</f>
        <v>0</v>
      </c>
      <c r="G44" s="86" t="e">
        <f>ROUND(C44*D44/F44,0)</f>
        <v>#DIV/0!</v>
      </c>
    </row>
    <row r="45" spans="1:7" ht="14.5">
      <c r="A45" s="135"/>
      <c r="B45" s="105"/>
      <c r="C45" s="100"/>
      <c r="D45" s="87"/>
      <c r="E45" s="87"/>
      <c r="F45" s="80"/>
      <c r="G45" s="86"/>
    </row>
    <row r="46" spans="1:7" ht="13">
      <c r="D46" s="82"/>
      <c r="E46" s="82"/>
      <c r="F46" s="96" t="s">
        <v>559</v>
      </c>
      <c r="G46" s="110" t="e">
        <f>SUM(G43:G45)</f>
        <v>#DIV/0!</v>
      </c>
    </row>
    <row r="47" spans="1:7" ht="13">
      <c r="D47" s="82"/>
      <c r="E47" s="82"/>
      <c r="G47" s="90"/>
    </row>
    <row r="48" spans="1:7" ht="12.75" customHeight="1">
      <c r="B48" s="82"/>
      <c r="D48" s="503" t="s">
        <v>569</v>
      </c>
      <c r="E48" s="505"/>
      <c r="F48" s="504"/>
      <c r="G48" s="101" t="e">
        <f>G25+G32+G39+G46</f>
        <v>#DIV/0!</v>
      </c>
    </row>
  </sheetData>
  <mergeCells count="3">
    <mergeCell ref="B1:G1"/>
    <mergeCell ref="B4:E4"/>
    <mergeCell ref="D48:F48"/>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BE126-F564-4D5D-B6EB-F39CBDEAB384}">
  <sheetPr>
    <tabColor theme="4" tint="0.59999389629810485"/>
    <pageSetUpPr fitToPage="1"/>
  </sheetPr>
  <dimension ref="A1:G48"/>
  <sheetViews>
    <sheetView showGridLines="0" view="pageBreakPreview" zoomScale="80" zoomScaleNormal="120" zoomScaleSheetLayoutView="80" workbookViewId="0">
      <selection activeCell="A7" sqref="A7:A47"/>
    </sheetView>
  </sheetViews>
  <sheetFormatPr baseColWidth="10" defaultColWidth="11.453125" defaultRowHeight="12.5"/>
  <cols>
    <col min="1" max="1" width="11.453125" style="64"/>
    <col min="2" max="2" width="48.26953125" style="64" customWidth="1"/>
    <col min="3" max="3" width="11.453125" style="64"/>
    <col min="4" max="5" width="11.7265625" style="64" customWidth="1"/>
    <col min="6" max="6" width="15" style="64" customWidth="1"/>
    <col min="7" max="7" width="15.26953125" style="64" customWidth="1"/>
    <col min="8" max="8" width="6.26953125" style="64" customWidth="1"/>
    <col min="9" max="9" width="11.453125" style="64"/>
    <col min="10" max="10" width="11.7265625" style="64" bestFit="1" customWidth="1"/>
    <col min="11" max="16384" width="11.453125" style="64"/>
  </cols>
  <sheetData>
    <row r="1" spans="1:7" ht="18.75" customHeight="1">
      <c r="B1" s="499" t="str">
        <f>+'PRESUPUESTO GENERAL SISFV'!A1</f>
        <v>IMPLEMENTACIÓN DE SOLUCIONES ENERGÉTICAS SOSTENIBLES CON FUENTES NO CONVENCIONALES PARA LAS  COMUNIDADES RURALES DEL MUNICIPIO CARTAGENA DEL CHAIRÁ, DEPARTAMENTO DEL CAQUETÁ</v>
      </c>
      <c r="C1" s="499"/>
      <c r="D1" s="499"/>
      <c r="E1" s="499"/>
      <c r="F1" s="499"/>
      <c r="G1" s="499"/>
    </row>
    <row r="3" spans="1:7" ht="12.75" customHeight="1">
      <c r="B3" s="65" t="s">
        <v>556</v>
      </c>
      <c r="C3" s="66" t="str">
        <f>+'PRESUPUESTO GENERAL SISFV'!A23</f>
        <v>4.1</v>
      </c>
      <c r="D3" s="66"/>
      <c r="E3" s="66"/>
      <c r="F3" s="66"/>
      <c r="G3" s="67" t="s">
        <v>557</v>
      </c>
    </row>
    <row r="4" spans="1:7" ht="61.15" customHeight="1">
      <c r="B4" s="500" t="str">
        <f>+'PRESUPUESTO GENERAL SISFV'!B23</f>
        <v>Instalaciones Internas  Tipo I que incluyan 4 salidas de alumbrado y 4 tomacorrientes. Se considera implementación de hasta 20 metros de tubería EMT de 3/4" y hasta 66 mts de cable de cobre aislado THHN No. 12 AWG</v>
      </c>
      <c r="C4" s="506"/>
      <c r="D4" s="506"/>
      <c r="E4" s="507"/>
      <c r="G4" s="68" t="str">
        <f>+'PRESUPUESTO GENERAL SISFV'!C23</f>
        <v>UN</v>
      </c>
    </row>
    <row r="5" spans="1:7" ht="13">
      <c r="B5" s="69"/>
      <c r="G5" s="70"/>
    </row>
    <row r="6" spans="1:7" ht="13">
      <c r="B6" s="85" t="s">
        <v>558</v>
      </c>
    </row>
    <row r="7" spans="1:7" ht="13">
      <c r="A7" s="105" t="s">
        <v>204</v>
      </c>
      <c r="B7" s="73" t="s">
        <v>97</v>
      </c>
      <c r="C7" s="73" t="s">
        <v>364</v>
      </c>
      <c r="D7" s="73" t="s">
        <v>126</v>
      </c>
      <c r="E7" s="73" t="s">
        <v>483</v>
      </c>
      <c r="F7" s="73" t="s">
        <v>365</v>
      </c>
      <c r="G7" s="73" t="s">
        <v>366</v>
      </c>
    </row>
    <row r="8" spans="1:7" ht="14.5">
      <c r="A8" s="152">
        <v>118</v>
      </c>
      <c r="B8" s="104" t="str">
        <f>VLOOKUP(A8,Materiales3[],3,FALSE)</f>
        <v>Tablero de distribución 1Ø - 3H de 4 circuitos</v>
      </c>
      <c r="C8" s="75" t="str">
        <f>VLOOKUP(A8,Materiales3[],4,FALSE)</f>
        <v>UN</v>
      </c>
      <c r="D8" s="75">
        <v>1</v>
      </c>
      <c r="E8" s="75">
        <f>VLOOKUP(A8,Materiales3[],5,FALSE)*D8</f>
        <v>1.21</v>
      </c>
      <c r="F8" s="77">
        <f>VLOOKUP(A8,Materiales3[],6,FALSE)</f>
        <v>0</v>
      </c>
      <c r="G8" s="77">
        <f>D8*F8</f>
        <v>0</v>
      </c>
    </row>
    <row r="9" spans="1:7" ht="22.15" customHeight="1">
      <c r="A9" s="152">
        <v>119</v>
      </c>
      <c r="B9" s="104" t="str">
        <f>VLOOKUP(A9,Materiales3[],3,FALSE)</f>
        <v>Interruptor termomagnético enchufable 1 x 20 A, 120 VAC - 10 KA</v>
      </c>
      <c r="C9" s="75" t="str">
        <f>VLOOKUP(A9,Materiales3[],4,FALSE)</f>
        <v>UN</v>
      </c>
      <c r="D9" s="153">
        <v>3</v>
      </c>
      <c r="E9" s="75">
        <f>VLOOKUP(A9,Materiales3[],5,FALSE)*D9</f>
        <v>0.72</v>
      </c>
      <c r="F9" s="77">
        <f>VLOOKUP(A9,Materiales3[],6,FALSE)</f>
        <v>0</v>
      </c>
      <c r="G9" s="77">
        <f t="shared" ref="G9:G24" si="0">D9*F9</f>
        <v>0</v>
      </c>
    </row>
    <row r="10" spans="1:7" ht="14.5">
      <c r="A10" s="152">
        <v>120</v>
      </c>
      <c r="B10" s="104" t="str">
        <f>VLOOKUP(A10,Materiales3[],3,FALSE)</f>
        <v>Caja PVC 4" x 4" con tapa lisa</v>
      </c>
      <c r="C10" s="75" t="str">
        <f>VLOOKUP(A10,Materiales3[],4,FALSE)</f>
        <v>UN</v>
      </c>
      <c r="D10" s="153">
        <v>3</v>
      </c>
      <c r="E10" s="75">
        <f>VLOOKUP(A10,Materiales3[],5,FALSE)*D10</f>
        <v>0.20400000000000001</v>
      </c>
      <c r="F10" s="77">
        <f>VLOOKUP(A10,Materiales3[],6,FALSE)</f>
        <v>0</v>
      </c>
      <c r="G10" s="77">
        <f t="shared" si="0"/>
        <v>0</v>
      </c>
    </row>
    <row r="11" spans="1:7" ht="14.5">
      <c r="A11" s="152">
        <v>121</v>
      </c>
      <c r="B11" s="104" t="str">
        <f>VLOOKUP(A11,Materiales3[],3,FALSE)</f>
        <v>Plafón de losa</v>
      </c>
      <c r="C11" s="75" t="str">
        <f>VLOOKUP(A11,Materiales3[],4,FALSE)</f>
        <v>UN</v>
      </c>
      <c r="D11" s="153">
        <v>14</v>
      </c>
      <c r="E11" s="75">
        <f>VLOOKUP(A11,Materiales3[],5,FALSE)*D11</f>
        <v>0.82599999999999996</v>
      </c>
      <c r="F11" s="77">
        <f>VLOOKUP(A11,Materiales3[],6,FALSE)</f>
        <v>0</v>
      </c>
      <c r="G11" s="77">
        <f t="shared" si="0"/>
        <v>0</v>
      </c>
    </row>
    <row r="12" spans="1:7" ht="14.5">
      <c r="A12" s="152">
        <v>122</v>
      </c>
      <c r="B12" s="104" t="str">
        <f>VLOOKUP(A12,Materiales3[],3,FALSE)</f>
        <v>Interruptor sencillo</v>
      </c>
      <c r="C12" s="75" t="str">
        <f>VLOOKUP(A12,Materiales3[],4,FALSE)</f>
        <v>UN</v>
      </c>
      <c r="D12" s="153">
        <v>7</v>
      </c>
      <c r="E12" s="75">
        <f>VLOOKUP(A12,Materiales3[],5,FALSE)*D12</f>
        <v>0.21</v>
      </c>
      <c r="F12" s="77">
        <f>VLOOKUP(A12,Materiales3[],6,FALSE)</f>
        <v>0</v>
      </c>
      <c r="G12" s="77">
        <f t="shared" si="0"/>
        <v>0</v>
      </c>
    </row>
    <row r="13" spans="1:7" ht="14.5">
      <c r="A13" s="152">
        <v>123</v>
      </c>
      <c r="B13" s="104" t="str">
        <f>VLOOKUP(A13,Materiales3[],3,FALSE)</f>
        <v>Conector tipo resorte No 12 AWG</v>
      </c>
      <c r="C13" s="75" t="str">
        <f>VLOOKUP(A13,Materiales3[],4,FALSE)</f>
        <v>UN</v>
      </c>
      <c r="D13" s="153">
        <f>14*3+7*3</f>
        <v>63</v>
      </c>
      <c r="E13" s="75">
        <f>VLOOKUP(A13,Materiales3[],5,FALSE)*D13</f>
        <v>0.63</v>
      </c>
      <c r="F13" s="77">
        <f>VLOOKUP(A13,Materiales3[],6,FALSE)</f>
        <v>0</v>
      </c>
      <c r="G13" s="77">
        <f t="shared" si="0"/>
        <v>0</v>
      </c>
    </row>
    <row r="14" spans="1:7" ht="14.5">
      <c r="A14" s="152">
        <v>124</v>
      </c>
      <c r="B14" s="104" t="str">
        <f>VLOOKUP(A14,Materiales3[],3,FALSE)</f>
        <v>Cable Cu THHN 12 AWG</v>
      </c>
      <c r="C14" s="75" t="str">
        <f>VLOOKUP(A14,Materiales3[],4,FALSE)</f>
        <v>ML</v>
      </c>
      <c r="D14" s="153">
        <f>52*3</f>
        <v>156</v>
      </c>
      <c r="E14" s="75">
        <f>VLOOKUP(A14,Materiales3[],5,FALSE)*D14</f>
        <v>5.3040000000000003</v>
      </c>
      <c r="F14" s="77">
        <f>VLOOKUP(A14,Materiales3[],6,FALSE)</f>
        <v>0</v>
      </c>
      <c r="G14" s="77">
        <f t="shared" si="0"/>
        <v>0</v>
      </c>
    </row>
    <row r="15" spans="1:7" ht="14.5">
      <c r="A15" s="152">
        <v>125</v>
      </c>
      <c r="B15" s="104" t="str">
        <f>VLOOKUP(A15,Materiales3[],3,FALSE)</f>
        <v>Tornillo metálico galvanizado 1/4" x 1" con arandela</v>
      </c>
      <c r="C15" s="75" t="str">
        <f>VLOOKUP(A15,Materiales3[],4,FALSE)</f>
        <v>UN</v>
      </c>
      <c r="D15" s="153">
        <v>200</v>
      </c>
      <c r="E15" s="75">
        <f>VLOOKUP(A15,Materiales3[],5,FALSE)*D15</f>
        <v>0.2</v>
      </c>
      <c r="F15" s="77">
        <f>VLOOKUP(A15,Materiales3[],6,FALSE)</f>
        <v>0</v>
      </c>
      <c r="G15" s="77">
        <f t="shared" si="0"/>
        <v>0</v>
      </c>
    </row>
    <row r="16" spans="1:7" ht="14.5">
      <c r="A16" s="152">
        <v>126</v>
      </c>
      <c r="B16" s="104" t="str">
        <f>VLOOKUP(A16,Materiales3[],3,FALSE)</f>
        <v>Caja PVC Octagonal</v>
      </c>
      <c r="C16" s="75" t="str">
        <f>VLOOKUP(A16,Materiales3[],4,FALSE)</f>
        <v>UN</v>
      </c>
      <c r="D16" s="153">
        <v>14</v>
      </c>
      <c r="E16" s="75">
        <f>VLOOKUP(A16,Materiales3[],5,FALSE)*D16</f>
        <v>0.70000000000000007</v>
      </c>
      <c r="F16" s="77">
        <f>VLOOKUP(A16,Materiales3[],6,FALSE)</f>
        <v>0</v>
      </c>
      <c r="G16" s="77">
        <f t="shared" si="0"/>
        <v>0</v>
      </c>
    </row>
    <row r="17" spans="1:7" ht="14.5">
      <c r="A17" s="152">
        <v>81</v>
      </c>
      <c r="B17" s="104" t="str">
        <f>VLOOKUP(A17,Materiales3[],3,FALSE)</f>
        <v>Abrazadera metálica galvanizada doble ala 3/4"</v>
      </c>
      <c r="C17" s="75" t="str">
        <f>VLOOKUP(A17,Materiales3[],4,FALSE)</f>
        <v>UN</v>
      </c>
      <c r="D17" s="153">
        <v>100</v>
      </c>
      <c r="E17" s="75">
        <f>VLOOKUP(A17,Materiales3[],5,FALSE)*D17</f>
        <v>5</v>
      </c>
      <c r="F17" s="77">
        <f>VLOOKUP(A17,Materiales3[],6,FALSE)</f>
        <v>0</v>
      </c>
      <c r="G17" s="77">
        <f t="shared" si="0"/>
        <v>0</v>
      </c>
    </row>
    <row r="18" spans="1:7" ht="14.5">
      <c r="A18" s="152">
        <v>66</v>
      </c>
      <c r="B18" s="104" t="str">
        <f>VLOOKUP(A18,Materiales3[],3,FALSE)</f>
        <v>Caja PVC 2" x 4"</v>
      </c>
      <c r="C18" s="75" t="str">
        <f>VLOOKUP(A18,Materiales3[],4,FALSE)</f>
        <v>UN</v>
      </c>
      <c r="D18" s="153">
        <v>17</v>
      </c>
      <c r="E18" s="75">
        <f>VLOOKUP(A18,Materiales3[],5,FALSE)*D18</f>
        <v>0.17</v>
      </c>
      <c r="F18" s="77">
        <f>VLOOKUP(A18,Materiales3[],6,FALSE)</f>
        <v>0</v>
      </c>
      <c r="G18" s="77">
        <f t="shared" si="0"/>
        <v>0</v>
      </c>
    </row>
    <row r="19" spans="1:7" ht="14.5">
      <c r="A19" s="152">
        <v>174</v>
      </c>
      <c r="B19" s="104" t="str">
        <f>VLOOKUP(A19,Materiales3[],3,FALSE)</f>
        <v>Barraje de cobre tropicalizado de 30 A para 6 conexiones</v>
      </c>
      <c r="C19" s="75" t="str">
        <f>VLOOKUP(A19,Materiales3[],4,FALSE)</f>
        <v>UN</v>
      </c>
      <c r="D19" s="153">
        <v>1</v>
      </c>
      <c r="E19" s="75">
        <f>VLOOKUP(A19,Materiales3[],5,FALSE)*D19</f>
        <v>0.2</v>
      </c>
      <c r="F19" s="77">
        <f>VLOOKUP(A19,Materiales3[],6,FALSE)</f>
        <v>0</v>
      </c>
      <c r="G19" s="77">
        <f t="shared" si="0"/>
        <v>0</v>
      </c>
    </row>
    <row r="20" spans="1:7" ht="14.5">
      <c r="A20" s="152">
        <v>65</v>
      </c>
      <c r="B20" s="104" t="str">
        <f>VLOOKUP(A20,Materiales3[],3,FALSE)</f>
        <v>Tomacorriente doble con polo a tierra</v>
      </c>
      <c r="C20" s="75" t="str">
        <f>VLOOKUP(A20,Materiales3[],4,FALSE)</f>
        <v>UN</v>
      </c>
      <c r="D20" s="153">
        <v>10</v>
      </c>
      <c r="E20" s="75">
        <f>VLOOKUP(A20,Materiales3[],5,FALSE)*D20</f>
        <v>0.1</v>
      </c>
      <c r="F20" s="77">
        <f>VLOOKUP(A20,Materiales3[],6,FALSE)</f>
        <v>0</v>
      </c>
      <c r="G20" s="77">
        <f t="shared" si="0"/>
        <v>0</v>
      </c>
    </row>
    <row r="21" spans="1:7" ht="14.5">
      <c r="A21" s="152">
        <v>133</v>
      </c>
      <c r="B21" s="104" t="str">
        <f>VLOOKUP(A21,Materiales3[],3,FALSE)</f>
        <v>Uniones, curvas y terminales IMC. Varios calibres</v>
      </c>
      <c r="C21" s="75" t="str">
        <f>VLOOKUP(A21,Materiales3[],4,FALSE)</f>
        <v>UN</v>
      </c>
      <c r="D21" s="153">
        <v>8</v>
      </c>
      <c r="E21" s="75">
        <f>VLOOKUP(A21,Materiales3[],5,FALSE)*D21</f>
        <v>1.44</v>
      </c>
      <c r="F21" s="77">
        <f>VLOOKUP(A21,Materiales3[],6,FALSE)</f>
        <v>0</v>
      </c>
      <c r="G21" s="77">
        <f t="shared" si="0"/>
        <v>0</v>
      </c>
    </row>
    <row r="22" spans="1:7" ht="14.5">
      <c r="A22" s="152">
        <v>405</v>
      </c>
      <c r="B22" s="104" t="str">
        <f>VLOOKUP(A22,Materiales3[],3,FALSE)</f>
        <v>Tubo conduit metalico EMT 3/4"</v>
      </c>
      <c r="C22" s="75" t="str">
        <f>VLOOKUP(A22,Materiales3[],4,FALSE)</f>
        <v>ML</v>
      </c>
      <c r="D22" s="153">
        <v>50</v>
      </c>
      <c r="E22" s="75">
        <f>VLOOKUP(A22,Materiales3[],5,FALSE)*D22</f>
        <v>34.5</v>
      </c>
      <c r="F22" s="77">
        <f>VLOOKUP(A22,Materiales3[],6,FALSE)</f>
        <v>0</v>
      </c>
      <c r="G22" s="77">
        <f t="shared" si="0"/>
        <v>0</v>
      </c>
    </row>
    <row r="23" spans="1:7" ht="14.5">
      <c r="A23" s="152">
        <v>406</v>
      </c>
      <c r="B23" s="104" t="str">
        <f>VLOOKUP(A23,Materiales3[],3,FALSE)</f>
        <v>Unión conduit metalica EMT 3/4"</v>
      </c>
      <c r="C23" s="75" t="str">
        <f>VLOOKUP(A23,Materiales3[],4,FALSE)</f>
        <v>UN</v>
      </c>
      <c r="D23" s="153">
        <v>17</v>
      </c>
      <c r="E23" s="75">
        <f>VLOOKUP(A23,Materiales3[],5,FALSE)*D23</f>
        <v>0.9860000000000001</v>
      </c>
      <c r="F23" s="77">
        <f>VLOOKUP(A23,Materiales3[],6,FALSE)</f>
        <v>0</v>
      </c>
      <c r="G23" s="77">
        <f t="shared" si="0"/>
        <v>0</v>
      </c>
    </row>
    <row r="24" spans="1:7" ht="14.5">
      <c r="A24" s="152">
        <v>407</v>
      </c>
      <c r="B24" s="104" t="str">
        <f>VLOOKUP(A24,Materiales3[],3,FALSE)</f>
        <v>Terminal conduit metalica EMT 3/4"</v>
      </c>
      <c r="C24" s="75" t="str">
        <f>VLOOKUP(A24,Materiales3[],4,FALSE)</f>
        <v>UN</v>
      </c>
      <c r="D24" s="153">
        <v>42</v>
      </c>
      <c r="E24" s="75">
        <f>VLOOKUP(A24,Materiales3[],5,FALSE)*D24</f>
        <v>2.4359999999999999</v>
      </c>
      <c r="F24" s="77">
        <f>VLOOKUP(A24,Materiales3[],6,FALSE)</f>
        <v>0</v>
      </c>
      <c r="G24" s="77">
        <f t="shared" si="0"/>
        <v>0</v>
      </c>
    </row>
    <row r="25" spans="1:7" ht="13">
      <c r="D25" s="82"/>
      <c r="E25" s="82"/>
      <c r="F25" s="96" t="s">
        <v>559</v>
      </c>
      <c r="G25" s="110">
        <f>SUM(G8:G24)</f>
        <v>0</v>
      </c>
    </row>
    <row r="26" spans="1:7">
      <c r="G26" s="108"/>
    </row>
    <row r="27" spans="1:7" ht="13">
      <c r="B27" s="85" t="s">
        <v>560</v>
      </c>
      <c r="G27" s="109"/>
    </row>
    <row r="28" spans="1:7" ht="13">
      <c r="A28" s="134" t="s">
        <v>204</v>
      </c>
      <c r="B28" s="72" t="s">
        <v>97</v>
      </c>
      <c r="C28" s="73" t="s">
        <v>2</v>
      </c>
      <c r="D28" s="73" t="s">
        <v>561</v>
      </c>
      <c r="E28" s="73"/>
      <c r="F28" s="73" t="s">
        <v>99</v>
      </c>
      <c r="G28" s="73" t="s">
        <v>366</v>
      </c>
    </row>
    <row r="29" spans="1:7" ht="14.5">
      <c r="A29" s="135">
        <v>1</v>
      </c>
      <c r="B29" s="78" t="str">
        <f>VLOOKUP(A29,Equipoyherramienta[],2,FALSE)</f>
        <v>Herramienta menor</v>
      </c>
      <c r="C29" s="79" t="str">
        <f>VLOOKUP(A29,Equipoyherramienta[],3,FALSE)</f>
        <v>UN</v>
      </c>
      <c r="D29" s="86">
        <f>VLOOKUP(A29,Equipoyherramienta[],4,FALSE)</f>
        <v>0</v>
      </c>
      <c r="E29" s="86"/>
      <c r="F29" s="106"/>
      <c r="G29" s="86" t="e">
        <f>ROUND(D29/F29,0)</f>
        <v>#DIV/0!</v>
      </c>
    </row>
    <row r="30" spans="1:7">
      <c r="B30" s="78"/>
      <c r="C30" s="79"/>
      <c r="D30" s="81"/>
      <c r="E30" s="81"/>
      <c r="F30" s="87"/>
      <c r="G30" s="88"/>
    </row>
    <row r="31" spans="1:7">
      <c r="B31" s="78"/>
      <c r="C31" s="79"/>
      <c r="D31" s="81"/>
      <c r="E31" s="81"/>
      <c r="F31" s="87"/>
      <c r="G31" s="88"/>
    </row>
    <row r="32" spans="1:7" ht="13">
      <c r="D32" s="82"/>
      <c r="E32" s="82"/>
      <c r="F32" s="83" t="s">
        <v>559</v>
      </c>
      <c r="G32" s="84" t="e">
        <f>SUM(G29:G31)</f>
        <v>#DIV/0!</v>
      </c>
    </row>
    <row r="33" spans="1:7" ht="13">
      <c r="D33" s="82"/>
      <c r="E33" s="82"/>
      <c r="F33" s="82"/>
      <c r="G33" s="89"/>
    </row>
    <row r="34" spans="1:7" ht="13">
      <c r="B34" s="71" t="s">
        <v>562</v>
      </c>
      <c r="G34" s="90"/>
    </row>
    <row r="35" spans="1:7" ht="13">
      <c r="A35" s="134" t="s">
        <v>204</v>
      </c>
      <c r="B35" s="72" t="s">
        <v>97</v>
      </c>
      <c r="C35" s="73" t="s">
        <v>364</v>
      </c>
      <c r="D35" s="73" t="s">
        <v>483</v>
      </c>
      <c r="E35" s="73"/>
      <c r="F35" s="73" t="s">
        <v>570</v>
      </c>
      <c r="G35" s="91" t="s">
        <v>366</v>
      </c>
    </row>
    <row r="36" spans="1:7" ht="26.5" customHeight="1">
      <c r="A36" s="135">
        <v>6</v>
      </c>
      <c r="B36" s="92" t="str">
        <f>VLOOKUP(A36,Transp.[],2,FALSE)</f>
        <v>Carga terrestre desde Bogota hasta Usuario, incluye cargues, descargues, cruces de río, transporte semoviente, transporte fluvia, transporte en vehículo de carga pesada y liviano y cualquier otro tranposte.</v>
      </c>
      <c r="C36" s="75" t="s">
        <v>571</v>
      </c>
      <c r="D36" s="76">
        <f>SUM(E8:E24)</f>
        <v>54.835999999999999</v>
      </c>
      <c r="E36" s="76"/>
      <c r="F36" s="94">
        <f>VLOOKUP(A36,Transp.[],6,FALSE)</f>
        <v>0</v>
      </c>
      <c r="G36" s="94">
        <f>D36*F36</f>
        <v>0</v>
      </c>
    </row>
    <row r="37" spans="1:7" ht="13.15" customHeight="1">
      <c r="A37" s="135"/>
      <c r="B37" s="92"/>
      <c r="C37" s="75"/>
      <c r="D37" s="76"/>
      <c r="E37" s="76"/>
      <c r="F37" s="94"/>
      <c r="G37" s="94"/>
    </row>
    <row r="38" spans="1:7" ht="13.15" customHeight="1">
      <c r="A38" s="135"/>
      <c r="B38" s="92"/>
      <c r="C38" s="75"/>
      <c r="D38" s="76"/>
      <c r="E38" s="76"/>
      <c r="F38" s="94"/>
      <c r="G38" s="94"/>
    </row>
    <row r="39" spans="1:7" ht="13">
      <c r="D39" s="82"/>
      <c r="E39" s="82"/>
      <c r="F39" s="96" t="s">
        <v>559</v>
      </c>
      <c r="G39" s="84">
        <f>SUM(G36:G38)</f>
        <v>0</v>
      </c>
    </row>
    <row r="41" spans="1:7" ht="13">
      <c r="B41" s="71" t="s">
        <v>566</v>
      </c>
      <c r="D41" s="97"/>
      <c r="E41" s="97"/>
      <c r="F41" s="98"/>
      <c r="G41" s="90"/>
    </row>
    <row r="42" spans="1:7" s="82" customFormat="1" ht="13">
      <c r="A42" s="134" t="s">
        <v>204</v>
      </c>
      <c r="B42" s="73" t="s">
        <v>97</v>
      </c>
      <c r="C42" s="73" t="s">
        <v>567</v>
      </c>
      <c r="D42" s="73" t="s">
        <v>568</v>
      </c>
      <c r="E42" s="73"/>
      <c r="F42" s="73" t="s">
        <v>99</v>
      </c>
      <c r="G42" s="91" t="s">
        <v>366</v>
      </c>
    </row>
    <row r="43" spans="1:7" ht="14.5">
      <c r="A43" s="135">
        <v>1</v>
      </c>
      <c r="B43" s="99" t="str">
        <f>VLOOKUP(A43,ManoObra[],2,FALSE)</f>
        <v>Electricista</v>
      </c>
      <c r="C43" s="100">
        <f>VLOOKUP(A43,ManoObra[],8,FALSE)</f>
        <v>0</v>
      </c>
      <c r="D43" s="87">
        <f>+FP!E27</f>
        <v>0</v>
      </c>
      <c r="E43" s="87"/>
      <c r="F43" s="106">
        <f>F29</f>
        <v>0</v>
      </c>
      <c r="G43" s="86" t="e">
        <f>ROUND(C43*D43/F43,0)</f>
        <v>#DIV/0!</v>
      </c>
    </row>
    <row r="44" spans="1:7" ht="14.5">
      <c r="A44" s="135">
        <v>2</v>
      </c>
      <c r="B44" s="99" t="str">
        <f>VLOOKUP(A44,ManoObra[],2,FALSE)</f>
        <v>Ayudante</v>
      </c>
      <c r="C44" s="100">
        <f>VLOOKUP(A44,ManoObra[],8,FALSE)</f>
        <v>0</v>
      </c>
      <c r="D44" s="87">
        <f>+FP!E27</f>
        <v>0</v>
      </c>
      <c r="E44" s="87"/>
      <c r="F44" s="106">
        <f>F29</f>
        <v>0</v>
      </c>
      <c r="G44" s="86" t="e">
        <f>ROUND(C44*D44/F44,0)</f>
        <v>#DIV/0!</v>
      </c>
    </row>
    <row r="45" spans="1:7" ht="14.5">
      <c r="A45" s="135"/>
      <c r="B45" s="105"/>
      <c r="C45" s="100"/>
      <c r="D45" s="87"/>
      <c r="E45" s="87"/>
      <c r="F45" s="80"/>
      <c r="G45" s="86"/>
    </row>
    <row r="46" spans="1:7" ht="13">
      <c r="D46" s="82"/>
      <c r="E46" s="82"/>
      <c r="F46" s="96" t="s">
        <v>559</v>
      </c>
      <c r="G46" s="110" t="e">
        <f>SUM(G43:G45)</f>
        <v>#DIV/0!</v>
      </c>
    </row>
    <row r="47" spans="1:7" ht="13">
      <c r="D47" s="82"/>
      <c r="E47" s="82"/>
      <c r="G47" s="90"/>
    </row>
    <row r="48" spans="1:7" ht="12.75" customHeight="1">
      <c r="B48" s="82"/>
      <c r="D48" s="503" t="s">
        <v>569</v>
      </c>
      <c r="E48" s="505"/>
      <c r="F48" s="504"/>
      <c r="G48" s="101" t="e">
        <f>G25+G32+G39+G46</f>
        <v>#DIV/0!</v>
      </c>
    </row>
  </sheetData>
  <mergeCells count="3">
    <mergeCell ref="B1:G1"/>
    <mergeCell ref="B4:E4"/>
    <mergeCell ref="D48:F48"/>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72772-176C-45AE-B6CD-DF3304E80C69}">
  <sheetPr>
    <tabColor theme="6" tint="0.59999389629810485"/>
    <pageSetUpPr fitToPage="1"/>
  </sheetPr>
  <dimension ref="A1:I473"/>
  <sheetViews>
    <sheetView view="pageBreakPreview" zoomScale="55" zoomScaleNormal="60" zoomScaleSheetLayoutView="55" workbookViewId="0">
      <selection activeCell="A2" sqref="A2"/>
    </sheetView>
  </sheetViews>
  <sheetFormatPr baseColWidth="10" defaultColWidth="11.453125" defaultRowHeight="14"/>
  <cols>
    <col min="1" max="1" width="16.26953125" style="123" bestFit="1" customWidth="1"/>
    <col min="2" max="2" width="38.453125" style="123" bestFit="1" customWidth="1"/>
    <col min="3" max="3" width="79.81640625" style="123" customWidth="1"/>
    <col min="4" max="4" width="13.1796875" style="123" customWidth="1"/>
    <col min="5" max="5" width="13.81640625" style="123" customWidth="1"/>
    <col min="6" max="6" width="22.81640625" style="123" bestFit="1" customWidth="1"/>
    <col min="7" max="7" width="23.26953125" style="123" bestFit="1" customWidth="1"/>
    <col min="8" max="8" width="28.1796875" style="124" bestFit="1" customWidth="1"/>
    <col min="9" max="9" width="18.1796875" style="123" bestFit="1" customWidth="1"/>
    <col min="10" max="10" width="15" style="123" customWidth="1"/>
    <col min="11" max="11" width="12" style="123" bestFit="1" customWidth="1"/>
    <col min="12" max="16384" width="11.453125" style="123"/>
  </cols>
  <sheetData>
    <row r="1" spans="1:9" ht="41.5" customHeight="1">
      <c r="A1" s="511" t="str">
        <f>+TRANSPORTE!A1</f>
        <v>IMPLEMENTACIÓN DE SOLUCIONES ENERGÉTICAS SOSTENIBLES CON FUENTES NO CONVENCIONALES PARA LAS  COMUNIDADES RURALES DEL MUNICIPIO CARTAGENA DEL CHAIRÁ, DEPARTAMENTO DEL CAQUETÁ</v>
      </c>
      <c r="B1" s="511"/>
      <c r="C1" s="511"/>
      <c r="D1" s="511"/>
      <c r="E1" s="511"/>
      <c r="F1" s="511"/>
      <c r="G1" s="511"/>
      <c r="H1" s="511"/>
    </row>
    <row r="3" spans="1:9" s="125" customFormat="1">
      <c r="A3" s="512" t="s">
        <v>583</v>
      </c>
      <c r="B3" s="512"/>
      <c r="C3" s="512"/>
      <c r="D3" s="512"/>
      <c r="E3" s="512"/>
      <c r="F3" s="512"/>
      <c r="G3" s="512"/>
      <c r="H3" s="512"/>
      <c r="I3" s="123"/>
    </row>
    <row r="4" spans="1:9">
      <c r="A4" s="126" t="s">
        <v>584</v>
      </c>
      <c r="B4" s="126" t="s">
        <v>585</v>
      </c>
      <c r="C4" s="126" t="s">
        <v>586</v>
      </c>
      <c r="D4" s="126" t="s">
        <v>364</v>
      </c>
      <c r="E4" s="126" t="s">
        <v>587</v>
      </c>
      <c r="F4" s="126" t="s">
        <v>588</v>
      </c>
      <c r="G4" s="126" t="s">
        <v>589</v>
      </c>
      <c r="H4" s="127" t="s">
        <v>590</v>
      </c>
    </row>
    <row r="5" spans="1:9" s="133" customFormat="1">
      <c r="A5" s="128">
        <v>1</v>
      </c>
      <c r="B5" s="128" t="s">
        <v>591</v>
      </c>
      <c r="C5" s="129" t="s">
        <v>592</v>
      </c>
      <c r="D5" s="128" t="s">
        <v>170</v>
      </c>
      <c r="E5" s="128">
        <v>28.9</v>
      </c>
      <c r="F5" s="130"/>
      <c r="G5" s="131"/>
      <c r="H5" s="132">
        <f t="shared" ref="H5:H68" si="0">+$H$2</f>
        <v>0</v>
      </c>
      <c r="I5" s="123"/>
    </row>
    <row r="6" spans="1:9" s="523" customFormat="1">
      <c r="A6" s="519">
        <v>2</v>
      </c>
      <c r="B6" s="519" t="s">
        <v>593</v>
      </c>
      <c r="C6" s="519" t="s">
        <v>594</v>
      </c>
      <c r="D6" s="520" t="s">
        <v>595</v>
      </c>
      <c r="E6" s="519">
        <v>5.8200000000000002E-2</v>
      </c>
      <c r="F6" s="521"/>
      <c r="G6" s="522"/>
      <c r="H6" s="271">
        <f t="shared" si="0"/>
        <v>0</v>
      </c>
    </row>
    <row r="7" spans="1:9" s="523" customFormat="1">
      <c r="A7" s="519">
        <v>3</v>
      </c>
      <c r="B7" s="519" t="s">
        <v>593</v>
      </c>
      <c r="C7" s="519" t="s">
        <v>596</v>
      </c>
      <c r="D7" s="520" t="s">
        <v>170</v>
      </c>
      <c r="E7" s="519">
        <v>0.1</v>
      </c>
      <c r="F7" s="521"/>
      <c r="G7" s="522"/>
      <c r="H7" s="271">
        <f t="shared" si="0"/>
        <v>0</v>
      </c>
    </row>
    <row r="8" spans="1:9" s="523" customFormat="1" ht="13.15" customHeight="1">
      <c r="A8" s="519">
        <v>4</v>
      </c>
      <c r="B8" s="519" t="s">
        <v>593</v>
      </c>
      <c r="C8" s="519" t="s">
        <v>597</v>
      </c>
      <c r="D8" s="520" t="s">
        <v>595</v>
      </c>
      <c r="E8" s="519">
        <v>0.18</v>
      </c>
      <c r="F8" s="521"/>
      <c r="G8" s="522"/>
      <c r="H8" s="271">
        <f t="shared" si="0"/>
        <v>0</v>
      </c>
    </row>
    <row r="9" spans="1:9" s="523" customFormat="1" ht="13.15" customHeight="1">
      <c r="A9" s="519">
        <v>5</v>
      </c>
      <c r="B9" s="519" t="s">
        <v>598</v>
      </c>
      <c r="C9" s="519" t="s">
        <v>599</v>
      </c>
      <c r="D9" s="520" t="s">
        <v>595</v>
      </c>
      <c r="E9" s="519">
        <v>0.55000000000000004</v>
      </c>
      <c r="F9" s="521"/>
      <c r="G9" s="522"/>
      <c r="H9" s="271">
        <f t="shared" si="0"/>
        <v>0</v>
      </c>
    </row>
    <row r="10" spans="1:9" s="523" customFormat="1">
      <c r="A10" s="519">
        <v>6</v>
      </c>
      <c r="B10" s="519" t="s">
        <v>598</v>
      </c>
      <c r="C10" s="519" t="s">
        <v>600</v>
      </c>
      <c r="D10" s="520" t="s">
        <v>170</v>
      </c>
      <c r="E10" s="519">
        <v>0.14000000000000001</v>
      </c>
      <c r="F10" s="521"/>
      <c r="G10" s="522"/>
      <c r="H10" s="271">
        <f t="shared" si="0"/>
        <v>0</v>
      </c>
    </row>
    <row r="11" spans="1:9" s="523" customFormat="1">
      <c r="A11" s="519">
        <v>7</v>
      </c>
      <c r="B11" s="519" t="s">
        <v>598</v>
      </c>
      <c r="C11" s="519" t="s">
        <v>601</v>
      </c>
      <c r="D11" s="520" t="s">
        <v>170</v>
      </c>
      <c r="E11" s="519">
        <v>0.1</v>
      </c>
      <c r="F11" s="521"/>
      <c r="G11" s="522"/>
      <c r="H11" s="271">
        <f t="shared" si="0"/>
        <v>0</v>
      </c>
    </row>
    <row r="12" spans="1:9" s="523" customFormat="1" ht="28">
      <c r="A12" s="519">
        <v>8</v>
      </c>
      <c r="B12" s="519" t="s">
        <v>602</v>
      </c>
      <c r="C12" s="524" t="s">
        <v>603</v>
      </c>
      <c r="D12" s="519" t="s">
        <v>170</v>
      </c>
      <c r="E12" s="519">
        <v>13</v>
      </c>
      <c r="F12" s="521"/>
      <c r="G12" s="522"/>
      <c r="H12" s="271">
        <f t="shared" si="0"/>
        <v>0</v>
      </c>
    </row>
    <row r="13" spans="1:9" s="523" customFormat="1">
      <c r="A13" s="519">
        <v>9</v>
      </c>
      <c r="B13" s="519" t="s">
        <v>604</v>
      </c>
      <c r="C13" s="519" t="s">
        <v>605</v>
      </c>
      <c r="D13" s="520" t="s">
        <v>170</v>
      </c>
      <c r="E13" s="519">
        <v>1.2</v>
      </c>
      <c r="F13" s="521"/>
      <c r="G13" s="522"/>
      <c r="H13" s="271">
        <f t="shared" si="0"/>
        <v>0</v>
      </c>
    </row>
    <row r="14" spans="1:9" s="523" customFormat="1">
      <c r="A14" s="519">
        <v>10</v>
      </c>
      <c r="B14" s="519" t="s">
        <v>606</v>
      </c>
      <c r="C14" s="519" t="s">
        <v>607</v>
      </c>
      <c r="D14" s="520" t="s">
        <v>595</v>
      </c>
      <c r="E14" s="519">
        <v>0.3</v>
      </c>
      <c r="F14" s="521"/>
      <c r="G14" s="522"/>
      <c r="H14" s="271">
        <f t="shared" si="0"/>
        <v>0</v>
      </c>
    </row>
    <row r="15" spans="1:9" s="523" customFormat="1">
      <c r="A15" s="519">
        <v>11</v>
      </c>
      <c r="B15" s="519" t="s">
        <v>608</v>
      </c>
      <c r="C15" s="519" t="s">
        <v>609</v>
      </c>
      <c r="D15" s="520" t="s">
        <v>170</v>
      </c>
      <c r="E15" s="519">
        <v>0.24</v>
      </c>
      <c r="F15" s="521"/>
      <c r="G15" s="522"/>
      <c r="H15" s="271">
        <f t="shared" si="0"/>
        <v>0</v>
      </c>
    </row>
    <row r="16" spans="1:9" s="523" customFormat="1">
      <c r="A16" s="519">
        <v>12</v>
      </c>
      <c r="B16" s="519" t="s">
        <v>608</v>
      </c>
      <c r="C16" s="519" t="s">
        <v>610</v>
      </c>
      <c r="D16" s="520" t="s">
        <v>170</v>
      </c>
      <c r="E16" s="519">
        <v>0.5</v>
      </c>
      <c r="F16" s="521"/>
      <c r="G16" s="522"/>
      <c r="H16" s="271">
        <f t="shared" si="0"/>
        <v>0</v>
      </c>
    </row>
    <row r="17" spans="1:8" s="523" customFormat="1">
      <c r="A17" s="519">
        <v>13</v>
      </c>
      <c r="B17" s="519" t="s">
        <v>611</v>
      </c>
      <c r="C17" s="519" t="s">
        <v>612</v>
      </c>
      <c r="D17" s="520" t="s">
        <v>170</v>
      </c>
      <c r="E17" s="519">
        <v>0.24</v>
      </c>
      <c r="F17" s="521"/>
      <c r="G17" s="522"/>
      <c r="H17" s="271">
        <f t="shared" si="0"/>
        <v>0</v>
      </c>
    </row>
    <row r="18" spans="1:8" s="523" customFormat="1">
      <c r="A18" s="519">
        <v>14</v>
      </c>
      <c r="B18" s="519" t="s">
        <v>593</v>
      </c>
      <c r="C18" s="519" t="s">
        <v>613</v>
      </c>
      <c r="D18" s="520" t="s">
        <v>595</v>
      </c>
      <c r="E18" s="519">
        <v>0.7</v>
      </c>
      <c r="F18" s="521"/>
      <c r="G18" s="522"/>
      <c r="H18" s="271">
        <f t="shared" si="0"/>
        <v>0</v>
      </c>
    </row>
    <row r="19" spans="1:8" s="523" customFormat="1" ht="42">
      <c r="A19" s="519">
        <v>15</v>
      </c>
      <c r="B19" s="519" t="s">
        <v>591</v>
      </c>
      <c r="C19" s="525" t="s">
        <v>614</v>
      </c>
      <c r="D19" s="519" t="s">
        <v>170</v>
      </c>
      <c r="E19" s="519">
        <v>13.7</v>
      </c>
      <c r="F19" s="521"/>
      <c r="G19" s="522"/>
      <c r="H19" s="271">
        <f t="shared" si="0"/>
        <v>0</v>
      </c>
    </row>
    <row r="20" spans="1:8" s="523" customFormat="1">
      <c r="A20" s="519">
        <v>16</v>
      </c>
      <c r="B20" s="519" t="s">
        <v>593</v>
      </c>
      <c r="C20" s="519" t="s">
        <v>615</v>
      </c>
      <c r="D20" s="520" t="s">
        <v>595</v>
      </c>
      <c r="E20" s="519">
        <v>9.6000000000000002E-2</v>
      </c>
      <c r="F20" s="521"/>
      <c r="G20" s="522"/>
      <c r="H20" s="271">
        <f t="shared" si="0"/>
        <v>0</v>
      </c>
    </row>
    <row r="21" spans="1:8" s="523" customFormat="1">
      <c r="A21" s="519">
        <v>17</v>
      </c>
      <c r="B21" s="519" t="s">
        <v>593</v>
      </c>
      <c r="C21" s="519" t="s">
        <v>616</v>
      </c>
      <c r="D21" s="520" t="s">
        <v>595</v>
      </c>
      <c r="E21" s="519">
        <v>0.56000000000000005</v>
      </c>
      <c r="F21" s="521"/>
      <c r="G21" s="522"/>
      <c r="H21" s="271">
        <f t="shared" si="0"/>
        <v>0</v>
      </c>
    </row>
    <row r="22" spans="1:8" s="523" customFormat="1" ht="13.15" customHeight="1">
      <c r="A22" s="519">
        <v>18</v>
      </c>
      <c r="B22" s="519" t="s">
        <v>602</v>
      </c>
      <c r="C22" s="524" t="s">
        <v>617</v>
      </c>
      <c r="D22" s="519" t="s">
        <v>170</v>
      </c>
      <c r="E22" s="519">
        <v>20</v>
      </c>
      <c r="F22" s="521"/>
      <c r="G22" s="522"/>
      <c r="H22" s="271">
        <f t="shared" si="0"/>
        <v>0</v>
      </c>
    </row>
    <row r="23" spans="1:8" s="523" customFormat="1" ht="31" customHeight="1">
      <c r="A23" s="519">
        <v>19</v>
      </c>
      <c r="B23" s="519" t="s">
        <v>604</v>
      </c>
      <c r="C23" s="519" t="s">
        <v>618</v>
      </c>
      <c r="D23" s="520" t="s">
        <v>170</v>
      </c>
      <c r="E23" s="519">
        <v>3.5</v>
      </c>
      <c r="F23" s="521"/>
      <c r="G23" s="522"/>
      <c r="H23" s="271">
        <f t="shared" si="0"/>
        <v>0</v>
      </c>
    </row>
    <row r="24" spans="1:8" s="523" customFormat="1">
      <c r="A24" s="519">
        <v>20</v>
      </c>
      <c r="B24" s="519" t="s">
        <v>608</v>
      </c>
      <c r="C24" s="519" t="s">
        <v>619</v>
      </c>
      <c r="D24" s="519" t="s">
        <v>170</v>
      </c>
      <c r="E24" s="519">
        <v>0.4</v>
      </c>
      <c r="F24" s="521"/>
      <c r="G24" s="522"/>
      <c r="H24" s="271">
        <f t="shared" si="0"/>
        <v>0</v>
      </c>
    </row>
    <row r="25" spans="1:8" s="523" customFormat="1">
      <c r="A25" s="519">
        <v>21</v>
      </c>
      <c r="B25" s="519" t="s">
        <v>593</v>
      </c>
      <c r="C25" s="519" t="s">
        <v>620</v>
      </c>
      <c r="D25" s="520" t="s">
        <v>595</v>
      </c>
      <c r="E25" s="519">
        <v>0.86</v>
      </c>
      <c r="F25" s="521"/>
      <c r="G25" s="522"/>
      <c r="H25" s="271">
        <f t="shared" si="0"/>
        <v>0</v>
      </c>
    </row>
    <row r="26" spans="1:8" s="523" customFormat="1">
      <c r="A26" s="519">
        <v>22</v>
      </c>
      <c r="B26" s="519" t="s">
        <v>608</v>
      </c>
      <c r="C26" s="519" t="s">
        <v>621</v>
      </c>
      <c r="D26" s="519" t="s">
        <v>170</v>
      </c>
      <c r="E26" s="519">
        <v>0.4</v>
      </c>
      <c r="F26" s="521"/>
      <c r="G26" s="522"/>
      <c r="H26" s="271">
        <f t="shared" si="0"/>
        <v>0</v>
      </c>
    </row>
    <row r="27" spans="1:8" s="523" customFormat="1">
      <c r="A27" s="519">
        <v>23</v>
      </c>
      <c r="B27" s="519" t="s">
        <v>608</v>
      </c>
      <c r="C27" s="519" t="s">
        <v>622</v>
      </c>
      <c r="D27" s="519" t="s">
        <v>170</v>
      </c>
      <c r="E27" s="519">
        <v>0.5</v>
      </c>
      <c r="F27" s="521"/>
      <c r="G27" s="522"/>
      <c r="H27" s="271">
        <f t="shared" si="0"/>
        <v>0</v>
      </c>
    </row>
    <row r="28" spans="1:8" s="523" customFormat="1">
      <c r="A28" s="519">
        <v>24</v>
      </c>
      <c r="B28" s="519" t="s">
        <v>593</v>
      </c>
      <c r="C28" s="519" t="s">
        <v>623</v>
      </c>
      <c r="D28" s="519" t="s">
        <v>170</v>
      </c>
      <c r="E28" s="519">
        <v>8.0000000000000002E-3</v>
      </c>
      <c r="F28" s="521"/>
      <c r="G28" s="522"/>
      <c r="H28" s="271">
        <f t="shared" si="0"/>
        <v>0</v>
      </c>
    </row>
    <row r="29" spans="1:8" s="523" customFormat="1">
      <c r="A29" s="519">
        <v>25</v>
      </c>
      <c r="B29" s="519" t="s">
        <v>593</v>
      </c>
      <c r="C29" s="519" t="s">
        <v>624</v>
      </c>
      <c r="D29" s="520" t="s">
        <v>170</v>
      </c>
      <c r="E29" s="519">
        <v>8.0000000000000002E-3</v>
      </c>
      <c r="F29" s="521"/>
      <c r="G29" s="522"/>
      <c r="H29" s="271">
        <f t="shared" si="0"/>
        <v>0</v>
      </c>
    </row>
    <row r="30" spans="1:8" s="523" customFormat="1">
      <c r="A30" s="519">
        <v>26</v>
      </c>
      <c r="B30" s="519" t="s">
        <v>591</v>
      </c>
      <c r="C30" s="520" t="s">
        <v>625</v>
      </c>
      <c r="D30" s="520" t="s">
        <v>170</v>
      </c>
      <c r="E30" s="519">
        <v>45</v>
      </c>
      <c r="F30" s="521"/>
      <c r="G30" s="522"/>
      <c r="H30" s="271">
        <f t="shared" si="0"/>
        <v>0</v>
      </c>
    </row>
    <row r="31" spans="1:8" s="523" customFormat="1">
      <c r="A31" s="519">
        <v>27</v>
      </c>
      <c r="B31" s="519" t="s">
        <v>606</v>
      </c>
      <c r="C31" s="519" t="s">
        <v>626</v>
      </c>
      <c r="D31" s="520" t="s">
        <v>170</v>
      </c>
      <c r="E31" s="519">
        <v>25</v>
      </c>
      <c r="F31" s="521"/>
      <c r="G31" s="522"/>
      <c r="H31" s="271">
        <f t="shared" si="0"/>
        <v>0</v>
      </c>
    </row>
    <row r="32" spans="1:8" s="523" customFormat="1">
      <c r="A32" s="519">
        <v>28</v>
      </c>
      <c r="B32" s="519" t="s">
        <v>593</v>
      </c>
      <c r="C32" s="519" t="s">
        <v>627</v>
      </c>
      <c r="D32" s="520" t="s">
        <v>595</v>
      </c>
      <c r="E32" s="519">
        <v>0.06</v>
      </c>
      <c r="F32" s="521"/>
      <c r="G32" s="522"/>
      <c r="H32" s="271">
        <f t="shared" si="0"/>
        <v>0</v>
      </c>
    </row>
    <row r="33" spans="1:8" s="523" customFormat="1">
      <c r="A33" s="519">
        <v>29</v>
      </c>
      <c r="B33" s="519" t="s">
        <v>593</v>
      </c>
      <c r="C33" s="519" t="s">
        <v>628</v>
      </c>
      <c r="D33" s="520" t="s">
        <v>629</v>
      </c>
      <c r="E33" s="519">
        <v>0.02</v>
      </c>
      <c r="F33" s="521"/>
      <c r="G33" s="522"/>
      <c r="H33" s="271">
        <f t="shared" si="0"/>
        <v>0</v>
      </c>
    </row>
    <row r="34" spans="1:8" s="523" customFormat="1" ht="28">
      <c r="A34" s="519">
        <v>30</v>
      </c>
      <c r="B34" s="519" t="s">
        <v>591</v>
      </c>
      <c r="C34" s="525" t="s">
        <v>630</v>
      </c>
      <c r="D34" s="520" t="s">
        <v>170</v>
      </c>
      <c r="E34" s="519">
        <v>30</v>
      </c>
      <c r="F34" s="521"/>
      <c r="G34" s="522"/>
      <c r="H34" s="271">
        <f t="shared" si="0"/>
        <v>0</v>
      </c>
    </row>
    <row r="35" spans="1:8" s="523" customFormat="1" ht="28">
      <c r="A35" s="519">
        <v>31</v>
      </c>
      <c r="B35" s="519" t="s">
        <v>602</v>
      </c>
      <c r="C35" s="524" t="s">
        <v>631</v>
      </c>
      <c r="D35" s="520" t="s">
        <v>170</v>
      </c>
      <c r="E35" s="519">
        <v>10</v>
      </c>
      <c r="F35" s="521"/>
      <c r="G35" s="522"/>
      <c r="H35" s="271">
        <f t="shared" si="0"/>
        <v>0</v>
      </c>
    </row>
    <row r="36" spans="1:8" s="523" customFormat="1">
      <c r="A36" s="519">
        <v>32</v>
      </c>
      <c r="B36" s="519" t="s">
        <v>604</v>
      </c>
      <c r="C36" s="519" t="s">
        <v>632</v>
      </c>
      <c r="D36" s="520" t="s">
        <v>170</v>
      </c>
      <c r="E36" s="519">
        <v>1</v>
      </c>
      <c r="F36" s="521"/>
      <c r="G36" s="522"/>
      <c r="H36" s="271">
        <f t="shared" si="0"/>
        <v>0</v>
      </c>
    </row>
    <row r="37" spans="1:8" s="523" customFormat="1">
      <c r="A37" s="519">
        <v>33</v>
      </c>
      <c r="B37" s="519" t="s">
        <v>608</v>
      </c>
      <c r="C37" s="519" t="s">
        <v>633</v>
      </c>
      <c r="D37" s="520" t="s">
        <v>170</v>
      </c>
      <c r="E37" s="519">
        <v>0.24</v>
      </c>
      <c r="F37" s="521"/>
      <c r="G37" s="522"/>
      <c r="H37" s="271">
        <f t="shared" si="0"/>
        <v>0</v>
      </c>
    </row>
    <row r="38" spans="1:8" s="523" customFormat="1">
      <c r="A38" s="519">
        <v>34</v>
      </c>
      <c r="B38" s="519" t="s">
        <v>608</v>
      </c>
      <c r="C38" s="519" t="s">
        <v>634</v>
      </c>
      <c r="D38" s="520" t="s">
        <v>170</v>
      </c>
      <c r="E38" s="519">
        <v>0.35</v>
      </c>
      <c r="F38" s="521"/>
      <c r="G38" s="522"/>
      <c r="H38" s="271">
        <f t="shared" si="0"/>
        <v>0</v>
      </c>
    </row>
    <row r="39" spans="1:8" s="523" customFormat="1">
      <c r="A39" s="519">
        <v>35</v>
      </c>
      <c r="B39" s="519" t="s">
        <v>591</v>
      </c>
      <c r="C39" s="520" t="s">
        <v>635</v>
      </c>
      <c r="D39" s="520" t="s">
        <v>170</v>
      </c>
      <c r="E39" s="519">
        <v>13.5</v>
      </c>
      <c r="F39" s="521"/>
      <c r="G39" s="522"/>
      <c r="H39" s="271">
        <f t="shared" si="0"/>
        <v>0</v>
      </c>
    </row>
    <row r="40" spans="1:8" s="523" customFormat="1" ht="28">
      <c r="A40" s="519">
        <v>36</v>
      </c>
      <c r="B40" s="519" t="s">
        <v>602</v>
      </c>
      <c r="C40" s="524" t="s">
        <v>636</v>
      </c>
      <c r="D40" s="519" t="s">
        <v>170</v>
      </c>
      <c r="E40" s="519">
        <v>15</v>
      </c>
      <c r="F40" s="521"/>
      <c r="G40" s="522"/>
      <c r="H40" s="271">
        <f t="shared" si="0"/>
        <v>0</v>
      </c>
    </row>
    <row r="41" spans="1:8" s="523" customFormat="1">
      <c r="A41" s="519">
        <v>37</v>
      </c>
      <c r="B41" s="519" t="s">
        <v>604</v>
      </c>
      <c r="C41" s="519" t="s">
        <v>637</v>
      </c>
      <c r="D41" s="520" t="s">
        <v>170</v>
      </c>
      <c r="E41" s="519">
        <v>1.5</v>
      </c>
      <c r="F41" s="521"/>
      <c r="G41" s="522"/>
      <c r="H41" s="271">
        <f t="shared" si="0"/>
        <v>0</v>
      </c>
    </row>
    <row r="42" spans="1:8" s="523" customFormat="1" ht="28">
      <c r="A42" s="519">
        <v>38</v>
      </c>
      <c r="B42" s="519" t="s">
        <v>638</v>
      </c>
      <c r="C42" s="524" t="s">
        <v>639</v>
      </c>
      <c r="D42" s="520" t="s">
        <v>170</v>
      </c>
      <c r="E42" s="519">
        <v>1</v>
      </c>
      <c r="F42" s="521"/>
      <c r="G42" s="522"/>
      <c r="H42" s="271">
        <f t="shared" si="0"/>
        <v>0</v>
      </c>
    </row>
    <row r="43" spans="1:8" s="523" customFormat="1">
      <c r="A43" s="519">
        <v>39</v>
      </c>
      <c r="B43" s="519" t="s">
        <v>593</v>
      </c>
      <c r="C43" s="519" t="s">
        <v>640</v>
      </c>
      <c r="D43" s="520" t="s">
        <v>595</v>
      </c>
      <c r="E43" s="519">
        <f>0.068/2</f>
        <v>3.4000000000000002E-2</v>
      </c>
      <c r="F43" s="521"/>
      <c r="G43" s="522"/>
      <c r="H43" s="271">
        <f t="shared" si="0"/>
        <v>0</v>
      </c>
    </row>
    <row r="44" spans="1:8" s="523" customFormat="1">
      <c r="A44" s="519">
        <v>40</v>
      </c>
      <c r="B44" s="519" t="s">
        <v>608</v>
      </c>
      <c r="C44" s="519" t="s">
        <v>641</v>
      </c>
      <c r="D44" s="520" t="s">
        <v>170</v>
      </c>
      <c r="E44" s="519">
        <v>0.4</v>
      </c>
      <c r="F44" s="521"/>
      <c r="G44" s="522"/>
      <c r="H44" s="271">
        <f t="shared" si="0"/>
        <v>0</v>
      </c>
    </row>
    <row r="45" spans="1:8" s="523" customFormat="1">
      <c r="A45" s="519">
        <v>41</v>
      </c>
      <c r="B45" s="519" t="s">
        <v>608</v>
      </c>
      <c r="C45" s="519" t="s">
        <v>642</v>
      </c>
      <c r="D45" s="520" t="s">
        <v>170</v>
      </c>
      <c r="E45" s="519">
        <v>0.3</v>
      </c>
      <c r="F45" s="521"/>
      <c r="G45" s="522"/>
      <c r="H45" s="271">
        <f t="shared" si="0"/>
        <v>0</v>
      </c>
    </row>
    <row r="46" spans="1:8" s="523" customFormat="1">
      <c r="A46" s="519">
        <v>42</v>
      </c>
      <c r="B46" s="519" t="s">
        <v>608</v>
      </c>
      <c r="C46" s="519" t="s">
        <v>643</v>
      </c>
      <c r="D46" s="520" t="s">
        <v>170</v>
      </c>
      <c r="E46" s="519">
        <v>0.24</v>
      </c>
      <c r="F46" s="521"/>
      <c r="G46" s="522"/>
      <c r="H46" s="271">
        <f t="shared" si="0"/>
        <v>0</v>
      </c>
    </row>
    <row r="47" spans="1:8" s="523" customFormat="1">
      <c r="A47" s="519">
        <v>43</v>
      </c>
      <c r="B47" s="519" t="s">
        <v>598</v>
      </c>
      <c r="C47" s="519" t="s">
        <v>644</v>
      </c>
      <c r="D47" s="520" t="s">
        <v>595</v>
      </c>
      <c r="E47" s="519">
        <v>0.5</v>
      </c>
      <c r="F47" s="521"/>
      <c r="G47" s="522"/>
      <c r="H47" s="271">
        <f t="shared" si="0"/>
        <v>0</v>
      </c>
    </row>
    <row r="48" spans="1:8" s="523" customFormat="1">
      <c r="A48" s="519">
        <v>44</v>
      </c>
      <c r="B48" s="519" t="s">
        <v>598</v>
      </c>
      <c r="C48" s="519" t="s">
        <v>645</v>
      </c>
      <c r="D48" s="520" t="s">
        <v>595</v>
      </c>
      <c r="E48" s="526">
        <f>0.79/3</f>
        <v>0.26333333333333336</v>
      </c>
      <c r="F48" s="521"/>
      <c r="G48" s="522"/>
      <c r="H48" s="271">
        <f t="shared" si="0"/>
        <v>0</v>
      </c>
    </row>
    <row r="49" spans="1:8" s="523" customFormat="1">
      <c r="A49" s="519">
        <v>45</v>
      </c>
      <c r="B49" s="519" t="s">
        <v>598</v>
      </c>
      <c r="C49" s="519" t="s">
        <v>646</v>
      </c>
      <c r="D49" s="520" t="s">
        <v>595</v>
      </c>
      <c r="E49" s="526">
        <f>3.2/3</f>
        <v>1.0666666666666667</v>
      </c>
      <c r="F49" s="521"/>
      <c r="G49" s="522"/>
      <c r="H49" s="271">
        <f t="shared" si="0"/>
        <v>0</v>
      </c>
    </row>
    <row r="50" spans="1:8" s="523" customFormat="1">
      <c r="A50" s="519">
        <v>46</v>
      </c>
      <c r="B50" s="519" t="s">
        <v>598</v>
      </c>
      <c r="C50" s="519" t="s">
        <v>647</v>
      </c>
      <c r="D50" s="520" t="s">
        <v>170</v>
      </c>
      <c r="E50" s="519">
        <v>0.08</v>
      </c>
      <c r="F50" s="521"/>
      <c r="G50" s="522"/>
      <c r="H50" s="271">
        <f t="shared" si="0"/>
        <v>0</v>
      </c>
    </row>
    <row r="51" spans="1:8" s="523" customFormat="1">
      <c r="A51" s="519">
        <v>47</v>
      </c>
      <c r="B51" s="519" t="s">
        <v>598</v>
      </c>
      <c r="C51" s="519" t="s">
        <v>648</v>
      </c>
      <c r="D51" s="520" t="s">
        <v>629</v>
      </c>
      <c r="E51" s="519">
        <v>0.2</v>
      </c>
      <c r="F51" s="521"/>
      <c r="G51" s="522"/>
      <c r="H51" s="271">
        <f t="shared" si="0"/>
        <v>0</v>
      </c>
    </row>
    <row r="52" spans="1:8" s="523" customFormat="1">
      <c r="A52" s="519">
        <v>48</v>
      </c>
      <c r="B52" s="519" t="s">
        <v>598</v>
      </c>
      <c r="C52" s="519" t="s">
        <v>649</v>
      </c>
      <c r="D52" s="520" t="s">
        <v>170</v>
      </c>
      <c r="E52" s="519">
        <v>0.19</v>
      </c>
      <c r="F52" s="521"/>
      <c r="G52" s="522"/>
      <c r="H52" s="271">
        <f t="shared" si="0"/>
        <v>0</v>
      </c>
    </row>
    <row r="53" spans="1:8" s="523" customFormat="1">
      <c r="A53" s="519">
        <v>49</v>
      </c>
      <c r="B53" s="519" t="s">
        <v>598</v>
      </c>
      <c r="C53" s="519" t="s">
        <v>650</v>
      </c>
      <c r="D53" s="520" t="s">
        <v>170</v>
      </c>
      <c r="E53" s="519">
        <v>0.1</v>
      </c>
      <c r="F53" s="521"/>
      <c r="G53" s="522"/>
      <c r="H53" s="271">
        <f t="shared" si="0"/>
        <v>0</v>
      </c>
    </row>
    <row r="54" spans="1:8" s="523" customFormat="1">
      <c r="A54" s="519">
        <v>50</v>
      </c>
      <c r="B54" s="519" t="s">
        <v>598</v>
      </c>
      <c r="C54" s="519" t="s">
        <v>651</v>
      </c>
      <c r="D54" s="520" t="s">
        <v>170</v>
      </c>
      <c r="E54" s="519">
        <v>0.05</v>
      </c>
      <c r="F54" s="521"/>
      <c r="G54" s="522"/>
      <c r="H54" s="271">
        <f t="shared" si="0"/>
        <v>0</v>
      </c>
    </row>
    <row r="55" spans="1:8" s="523" customFormat="1">
      <c r="A55" s="519">
        <v>51</v>
      </c>
      <c r="B55" s="519" t="s">
        <v>598</v>
      </c>
      <c r="C55" s="519" t="s">
        <v>652</v>
      </c>
      <c r="D55" s="520" t="s">
        <v>170</v>
      </c>
      <c r="E55" s="519">
        <v>0.05</v>
      </c>
      <c r="F55" s="521"/>
      <c r="G55" s="522"/>
      <c r="H55" s="271">
        <f t="shared" si="0"/>
        <v>0</v>
      </c>
    </row>
    <row r="56" spans="1:8" s="523" customFormat="1">
      <c r="A56" s="519">
        <v>52</v>
      </c>
      <c r="B56" s="519" t="s">
        <v>606</v>
      </c>
      <c r="C56" s="519" t="s">
        <v>653</v>
      </c>
      <c r="D56" s="520" t="s">
        <v>170</v>
      </c>
      <c r="E56" s="519">
        <v>0.35</v>
      </c>
      <c r="F56" s="521"/>
      <c r="G56" s="522"/>
      <c r="H56" s="271">
        <f t="shared" si="0"/>
        <v>0</v>
      </c>
    </row>
    <row r="57" spans="1:8" s="523" customFormat="1" ht="28">
      <c r="A57" s="519">
        <v>53</v>
      </c>
      <c r="B57" s="519" t="s">
        <v>654</v>
      </c>
      <c r="C57" s="524" t="s">
        <v>655</v>
      </c>
      <c r="D57" s="519" t="s">
        <v>170</v>
      </c>
      <c r="E57" s="519">
        <v>2</v>
      </c>
      <c r="F57" s="521"/>
      <c r="G57" s="522"/>
      <c r="H57" s="271">
        <f t="shared" si="0"/>
        <v>0</v>
      </c>
    </row>
    <row r="58" spans="1:8" s="523" customFormat="1">
      <c r="A58" s="519">
        <v>54</v>
      </c>
      <c r="B58" s="519" t="s">
        <v>654</v>
      </c>
      <c r="C58" s="519" t="s">
        <v>656</v>
      </c>
      <c r="D58" s="519" t="s">
        <v>170</v>
      </c>
      <c r="E58" s="519">
        <v>1</v>
      </c>
      <c r="F58" s="521"/>
      <c r="G58" s="522"/>
      <c r="H58" s="271">
        <f t="shared" si="0"/>
        <v>0</v>
      </c>
    </row>
    <row r="59" spans="1:8" s="523" customFormat="1">
      <c r="A59" s="519">
        <v>55</v>
      </c>
      <c r="B59" s="519" t="s">
        <v>654</v>
      </c>
      <c r="C59" s="519" t="s">
        <v>657</v>
      </c>
      <c r="D59" s="520" t="s">
        <v>595</v>
      </c>
      <c r="E59" s="519">
        <v>3.2000000000000001E-2</v>
      </c>
      <c r="F59" s="521"/>
      <c r="G59" s="522"/>
      <c r="H59" s="271">
        <f t="shared" si="0"/>
        <v>0</v>
      </c>
    </row>
    <row r="60" spans="1:8" s="523" customFormat="1">
      <c r="A60" s="519">
        <v>56</v>
      </c>
      <c r="B60" s="519" t="s">
        <v>654</v>
      </c>
      <c r="C60" s="519" t="s">
        <v>658</v>
      </c>
      <c r="D60" s="520" t="s">
        <v>595</v>
      </c>
      <c r="E60" s="519">
        <v>3.2000000000000001E-2</v>
      </c>
      <c r="F60" s="521"/>
      <c r="G60" s="522"/>
      <c r="H60" s="271">
        <f t="shared" si="0"/>
        <v>0</v>
      </c>
    </row>
    <row r="61" spans="1:8" s="523" customFormat="1">
      <c r="A61" s="519">
        <v>57</v>
      </c>
      <c r="B61" s="519" t="s">
        <v>654</v>
      </c>
      <c r="C61" s="519" t="s">
        <v>659</v>
      </c>
      <c r="D61" s="520" t="s">
        <v>170</v>
      </c>
      <c r="E61" s="519">
        <v>0.01</v>
      </c>
      <c r="F61" s="521"/>
      <c r="G61" s="522"/>
      <c r="H61" s="271">
        <f t="shared" si="0"/>
        <v>0</v>
      </c>
    </row>
    <row r="62" spans="1:8" s="523" customFormat="1">
      <c r="A62" s="519">
        <v>58</v>
      </c>
      <c r="B62" s="519" t="s">
        <v>654</v>
      </c>
      <c r="C62" s="519" t="s">
        <v>660</v>
      </c>
      <c r="D62" s="520" t="s">
        <v>170</v>
      </c>
      <c r="E62" s="519">
        <v>0.01</v>
      </c>
      <c r="F62" s="521"/>
      <c r="G62" s="522"/>
      <c r="H62" s="271">
        <f t="shared" si="0"/>
        <v>0</v>
      </c>
    </row>
    <row r="63" spans="1:8" s="523" customFormat="1">
      <c r="A63" s="519">
        <v>59</v>
      </c>
      <c r="B63" s="519" t="s">
        <v>598</v>
      </c>
      <c r="C63" s="519" t="s">
        <v>661</v>
      </c>
      <c r="D63" s="520" t="s">
        <v>595</v>
      </c>
      <c r="E63" s="519">
        <v>0.4</v>
      </c>
      <c r="F63" s="521"/>
      <c r="G63" s="522"/>
      <c r="H63" s="271">
        <f t="shared" si="0"/>
        <v>0</v>
      </c>
    </row>
    <row r="64" spans="1:8" s="523" customFormat="1">
      <c r="A64" s="519">
        <v>60</v>
      </c>
      <c r="B64" s="519" t="s">
        <v>598</v>
      </c>
      <c r="C64" s="519" t="s">
        <v>662</v>
      </c>
      <c r="D64" s="520" t="s">
        <v>170</v>
      </c>
      <c r="E64" s="519">
        <v>0.19</v>
      </c>
      <c r="F64" s="521"/>
      <c r="G64" s="522"/>
      <c r="H64" s="271">
        <f t="shared" si="0"/>
        <v>0</v>
      </c>
    </row>
    <row r="65" spans="1:8" s="523" customFormat="1" ht="28">
      <c r="A65" s="519">
        <v>61</v>
      </c>
      <c r="B65" s="519" t="s">
        <v>602</v>
      </c>
      <c r="C65" s="524" t="s">
        <v>663</v>
      </c>
      <c r="D65" s="520" t="s">
        <v>170</v>
      </c>
      <c r="E65" s="519">
        <v>2</v>
      </c>
      <c r="F65" s="521"/>
      <c r="G65" s="522"/>
      <c r="H65" s="271">
        <f t="shared" si="0"/>
        <v>0</v>
      </c>
    </row>
    <row r="66" spans="1:8" s="523" customFormat="1">
      <c r="A66" s="519">
        <v>62</v>
      </c>
      <c r="B66" s="519" t="s">
        <v>654</v>
      </c>
      <c r="C66" s="519" t="s">
        <v>664</v>
      </c>
      <c r="D66" s="520" t="s">
        <v>170</v>
      </c>
      <c r="E66" s="519">
        <v>3.5000000000000003E-2</v>
      </c>
      <c r="F66" s="521"/>
      <c r="G66" s="522"/>
      <c r="H66" s="271">
        <f t="shared" si="0"/>
        <v>0</v>
      </c>
    </row>
    <row r="67" spans="1:8" s="523" customFormat="1">
      <c r="A67" s="519">
        <v>63</v>
      </c>
      <c r="B67" s="519" t="s">
        <v>654</v>
      </c>
      <c r="C67" s="519" t="s">
        <v>665</v>
      </c>
      <c r="D67" s="520" t="s">
        <v>170</v>
      </c>
      <c r="E67" s="519">
        <v>0.1</v>
      </c>
      <c r="F67" s="521"/>
      <c r="G67" s="522"/>
      <c r="H67" s="271">
        <f t="shared" si="0"/>
        <v>0</v>
      </c>
    </row>
    <row r="68" spans="1:8" s="523" customFormat="1">
      <c r="A68" s="519">
        <v>64</v>
      </c>
      <c r="B68" s="519" t="s">
        <v>666</v>
      </c>
      <c r="C68" s="519" t="s">
        <v>667</v>
      </c>
      <c r="D68" s="520" t="s">
        <v>170</v>
      </c>
      <c r="E68" s="519">
        <v>5</v>
      </c>
      <c r="F68" s="521"/>
      <c r="G68" s="522"/>
      <c r="H68" s="271">
        <f t="shared" si="0"/>
        <v>0</v>
      </c>
    </row>
    <row r="69" spans="1:8" s="523" customFormat="1">
      <c r="A69" s="519">
        <v>65</v>
      </c>
      <c r="B69" s="519" t="s">
        <v>668</v>
      </c>
      <c r="C69" s="519" t="s">
        <v>669</v>
      </c>
      <c r="D69" s="520" t="s">
        <v>170</v>
      </c>
      <c r="E69" s="519">
        <v>0.01</v>
      </c>
      <c r="F69" s="521"/>
      <c r="G69" s="522"/>
      <c r="H69" s="271">
        <f t="shared" ref="H69:H132" si="1">+$H$2</f>
        <v>0</v>
      </c>
    </row>
    <row r="70" spans="1:8" s="523" customFormat="1">
      <c r="A70" s="519">
        <v>66</v>
      </c>
      <c r="B70" s="519" t="s">
        <v>668</v>
      </c>
      <c r="C70" s="519" t="s">
        <v>670</v>
      </c>
      <c r="D70" s="520" t="s">
        <v>170</v>
      </c>
      <c r="E70" s="519">
        <v>0.01</v>
      </c>
      <c r="F70" s="521"/>
      <c r="G70" s="522"/>
      <c r="H70" s="271">
        <f t="shared" si="1"/>
        <v>0</v>
      </c>
    </row>
    <row r="71" spans="1:8" s="523" customFormat="1">
      <c r="A71" s="519">
        <v>67</v>
      </c>
      <c r="B71" s="519" t="s">
        <v>593</v>
      </c>
      <c r="C71" s="519" t="s">
        <v>671</v>
      </c>
      <c r="D71" s="519" t="s">
        <v>595</v>
      </c>
      <c r="E71" s="519">
        <v>0.86</v>
      </c>
      <c r="F71" s="521"/>
      <c r="G71" s="522"/>
      <c r="H71" s="271">
        <f t="shared" si="1"/>
        <v>0</v>
      </c>
    </row>
    <row r="72" spans="1:8" s="523" customFormat="1">
      <c r="A72" s="519">
        <v>68</v>
      </c>
      <c r="B72" s="519" t="s">
        <v>638</v>
      </c>
      <c r="C72" s="519" t="s">
        <v>672</v>
      </c>
      <c r="D72" s="520" t="s">
        <v>170</v>
      </c>
      <c r="E72" s="519">
        <v>3.07</v>
      </c>
      <c r="F72" s="521"/>
      <c r="G72" s="522"/>
      <c r="H72" s="271">
        <f t="shared" si="1"/>
        <v>0</v>
      </c>
    </row>
    <row r="73" spans="1:8" s="523" customFormat="1">
      <c r="A73" s="519">
        <v>69</v>
      </c>
      <c r="B73" s="519" t="s">
        <v>666</v>
      </c>
      <c r="C73" s="519" t="s">
        <v>673</v>
      </c>
      <c r="D73" s="520" t="s">
        <v>170</v>
      </c>
      <c r="E73" s="519">
        <v>0.09</v>
      </c>
      <c r="F73" s="521"/>
      <c r="G73" s="522"/>
      <c r="H73" s="271">
        <f t="shared" si="1"/>
        <v>0</v>
      </c>
    </row>
    <row r="74" spans="1:8" s="523" customFormat="1">
      <c r="A74" s="519">
        <v>70</v>
      </c>
      <c r="B74" s="519" t="s">
        <v>606</v>
      </c>
      <c r="C74" s="519" t="s">
        <v>674</v>
      </c>
      <c r="D74" s="520" t="s">
        <v>170</v>
      </c>
      <c r="E74" s="519">
        <v>0.02</v>
      </c>
      <c r="F74" s="521"/>
      <c r="G74" s="522"/>
      <c r="H74" s="271">
        <f t="shared" si="1"/>
        <v>0</v>
      </c>
    </row>
    <row r="75" spans="1:8" s="523" customFormat="1">
      <c r="A75" s="519">
        <v>71</v>
      </c>
      <c r="B75" s="519" t="s">
        <v>593</v>
      </c>
      <c r="C75" s="519" t="s">
        <v>675</v>
      </c>
      <c r="D75" s="520" t="s">
        <v>170</v>
      </c>
      <c r="E75" s="519">
        <v>0.01</v>
      </c>
      <c r="F75" s="521"/>
      <c r="G75" s="522"/>
      <c r="H75" s="271">
        <f t="shared" si="1"/>
        <v>0</v>
      </c>
    </row>
    <row r="76" spans="1:8" s="523" customFormat="1">
      <c r="A76" s="519">
        <v>72</v>
      </c>
      <c r="B76" s="519" t="s">
        <v>638</v>
      </c>
      <c r="C76" s="519" t="s">
        <v>676</v>
      </c>
      <c r="D76" s="520" t="s">
        <v>170</v>
      </c>
      <c r="E76" s="519">
        <v>4</v>
      </c>
      <c r="F76" s="521"/>
      <c r="G76" s="522"/>
      <c r="H76" s="271">
        <f t="shared" si="1"/>
        <v>0</v>
      </c>
    </row>
    <row r="77" spans="1:8" s="523" customFormat="1" ht="28">
      <c r="A77" s="519">
        <v>73</v>
      </c>
      <c r="B77" s="519" t="s">
        <v>638</v>
      </c>
      <c r="C77" s="524" t="s">
        <v>677</v>
      </c>
      <c r="D77" s="519" t="s">
        <v>170</v>
      </c>
      <c r="E77" s="519">
        <v>0.5</v>
      </c>
      <c r="F77" s="521"/>
      <c r="G77" s="522"/>
      <c r="H77" s="271">
        <f t="shared" si="1"/>
        <v>0</v>
      </c>
    </row>
    <row r="78" spans="1:8" s="523" customFormat="1">
      <c r="A78" s="519">
        <v>74</v>
      </c>
      <c r="B78" s="519" t="s">
        <v>593</v>
      </c>
      <c r="C78" s="519" t="s">
        <v>678</v>
      </c>
      <c r="D78" s="520" t="s">
        <v>595</v>
      </c>
      <c r="E78" s="519">
        <v>0.35599999999999998</v>
      </c>
      <c r="F78" s="521"/>
      <c r="G78" s="522"/>
      <c r="H78" s="271">
        <f t="shared" si="1"/>
        <v>0</v>
      </c>
    </row>
    <row r="79" spans="1:8" s="523" customFormat="1">
      <c r="A79" s="519">
        <v>75</v>
      </c>
      <c r="B79" s="519" t="s">
        <v>593</v>
      </c>
      <c r="C79" s="519" t="s">
        <v>679</v>
      </c>
      <c r="D79" s="520" t="s">
        <v>595</v>
      </c>
      <c r="E79" s="519">
        <v>9.6000000000000002E-2</v>
      </c>
      <c r="F79" s="521"/>
      <c r="G79" s="522"/>
      <c r="H79" s="271">
        <f t="shared" si="1"/>
        <v>0</v>
      </c>
    </row>
    <row r="80" spans="1:8" s="523" customFormat="1">
      <c r="A80" s="519">
        <v>76</v>
      </c>
      <c r="B80" s="519" t="s">
        <v>606</v>
      </c>
      <c r="C80" s="519" t="s">
        <v>680</v>
      </c>
      <c r="D80" s="520" t="s">
        <v>170</v>
      </c>
      <c r="E80" s="519">
        <v>0.05</v>
      </c>
      <c r="F80" s="521"/>
      <c r="G80" s="522"/>
      <c r="H80" s="271">
        <f t="shared" si="1"/>
        <v>0</v>
      </c>
    </row>
    <row r="81" spans="1:8" s="523" customFormat="1">
      <c r="A81" s="519">
        <v>77</v>
      </c>
      <c r="B81" s="519" t="s">
        <v>606</v>
      </c>
      <c r="C81" s="519" t="s">
        <v>681</v>
      </c>
      <c r="D81" s="520" t="s">
        <v>170</v>
      </c>
      <c r="E81" s="519">
        <v>0.05</v>
      </c>
      <c r="F81" s="521"/>
      <c r="G81" s="522"/>
      <c r="H81" s="271">
        <f t="shared" si="1"/>
        <v>0</v>
      </c>
    </row>
    <row r="82" spans="1:8" s="523" customFormat="1">
      <c r="A82" s="519">
        <v>78</v>
      </c>
      <c r="B82" s="519" t="s">
        <v>606</v>
      </c>
      <c r="C82" s="519" t="s">
        <v>682</v>
      </c>
      <c r="D82" s="520" t="s">
        <v>170</v>
      </c>
      <c r="E82" s="519">
        <v>0.05</v>
      </c>
      <c r="F82" s="521"/>
      <c r="G82" s="522"/>
      <c r="H82" s="271">
        <f t="shared" si="1"/>
        <v>0</v>
      </c>
    </row>
    <row r="83" spans="1:8" s="523" customFormat="1">
      <c r="A83" s="519">
        <v>79</v>
      </c>
      <c r="B83" s="519" t="s">
        <v>606</v>
      </c>
      <c r="C83" s="519" t="s">
        <v>683</v>
      </c>
      <c r="D83" s="520" t="s">
        <v>170</v>
      </c>
      <c r="E83" s="519">
        <v>0.05</v>
      </c>
      <c r="F83" s="521"/>
      <c r="G83" s="522"/>
      <c r="H83" s="271">
        <f t="shared" si="1"/>
        <v>0</v>
      </c>
    </row>
    <row r="84" spans="1:8" s="523" customFormat="1">
      <c r="A84" s="519">
        <v>80</v>
      </c>
      <c r="B84" s="519" t="s">
        <v>606</v>
      </c>
      <c r="C84" s="519" t="s">
        <v>684</v>
      </c>
      <c r="D84" s="520" t="s">
        <v>170</v>
      </c>
      <c r="E84" s="519">
        <v>0.05</v>
      </c>
      <c r="F84" s="521"/>
      <c r="G84" s="522"/>
      <c r="H84" s="271">
        <f t="shared" si="1"/>
        <v>0</v>
      </c>
    </row>
    <row r="85" spans="1:8" s="523" customFormat="1">
      <c r="A85" s="519">
        <v>81</v>
      </c>
      <c r="B85" s="519" t="s">
        <v>606</v>
      </c>
      <c r="C85" s="519" t="s">
        <v>685</v>
      </c>
      <c r="D85" s="520" t="s">
        <v>170</v>
      </c>
      <c r="E85" s="519">
        <v>0.05</v>
      </c>
      <c r="F85" s="521"/>
      <c r="G85" s="522"/>
      <c r="H85" s="271">
        <f t="shared" si="1"/>
        <v>0</v>
      </c>
    </row>
    <row r="86" spans="1:8" s="523" customFormat="1">
      <c r="A86" s="519">
        <v>82</v>
      </c>
      <c r="B86" s="519" t="s">
        <v>593</v>
      </c>
      <c r="C86" s="519" t="s">
        <v>686</v>
      </c>
      <c r="D86" s="520" t="s">
        <v>170</v>
      </c>
      <c r="E86" s="519">
        <v>0.313</v>
      </c>
      <c r="F86" s="521"/>
      <c r="G86" s="522"/>
      <c r="H86" s="271">
        <f t="shared" si="1"/>
        <v>0</v>
      </c>
    </row>
    <row r="87" spans="1:8" s="523" customFormat="1">
      <c r="A87" s="519">
        <v>83</v>
      </c>
      <c r="B87" s="519" t="s">
        <v>598</v>
      </c>
      <c r="C87" s="519" t="s">
        <v>687</v>
      </c>
      <c r="D87" s="520" t="s">
        <v>595</v>
      </c>
      <c r="E87" s="526">
        <f>0.58/3</f>
        <v>0.19333333333333333</v>
      </c>
      <c r="F87" s="521"/>
      <c r="G87" s="522"/>
      <c r="H87" s="271">
        <f t="shared" si="1"/>
        <v>0</v>
      </c>
    </row>
    <row r="88" spans="1:8" s="523" customFormat="1">
      <c r="A88" s="519">
        <v>84</v>
      </c>
      <c r="B88" s="519" t="s">
        <v>598</v>
      </c>
      <c r="C88" s="519" t="s">
        <v>688</v>
      </c>
      <c r="D88" s="520" t="s">
        <v>595</v>
      </c>
      <c r="E88" s="526">
        <f>1.4/3</f>
        <v>0.46666666666666662</v>
      </c>
      <c r="F88" s="521"/>
      <c r="G88" s="522"/>
      <c r="H88" s="271">
        <f t="shared" si="1"/>
        <v>0</v>
      </c>
    </row>
    <row r="89" spans="1:8" s="523" customFormat="1">
      <c r="A89" s="519">
        <v>85</v>
      </c>
      <c r="B89" s="519" t="s">
        <v>593</v>
      </c>
      <c r="C89" s="519" t="s">
        <v>689</v>
      </c>
      <c r="D89" s="520" t="s">
        <v>595</v>
      </c>
      <c r="E89" s="519">
        <v>7.4999999999999997E-2</v>
      </c>
      <c r="F89" s="521"/>
      <c r="G89" s="522"/>
      <c r="H89" s="271">
        <f t="shared" si="1"/>
        <v>0</v>
      </c>
    </row>
    <row r="90" spans="1:8" s="523" customFormat="1">
      <c r="A90" s="519">
        <v>86</v>
      </c>
      <c r="B90" s="519" t="s">
        <v>654</v>
      </c>
      <c r="C90" s="524" t="s">
        <v>690</v>
      </c>
      <c r="D90" s="520" t="s">
        <v>170</v>
      </c>
      <c r="E90" s="519">
        <v>0.5</v>
      </c>
      <c r="F90" s="521"/>
      <c r="G90" s="522"/>
      <c r="H90" s="271">
        <f t="shared" si="1"/>
        <v>0</v>
      </c>
    </row>
    <row r="91" spans="1:8" s="523" customFormat="1">
      <c r="A91" s="519">
        <v>87</v>
      </c>
      <c r="B91" s="519" t="s">
        <v>602</v>
      </c>
      <c r="C91" s="524" t="s">
        <v>691</v>
      </c>
      <c r="D91" s="520" t="s">
        <v>170</v>
      </c>
      <c r="E91" s="519">
        <v>1</v>
      </c>
      <c r="F91" s="521"/>
      <c r="G91" s="522"/>
      <c r="H91" s="271">
        <f t="shared" si="1"/>
        <v>0</v>
      </c>
    </row>
    <row r="92" spans="1:8" s="523" customFormat="1">
      <c r="A92" s="519">
        <v>88</v>
      </c>
      <c r="B92" s="519" t="s">
        <v>692</v>
      </c>
      <c r="C92" s="524" t="s">
        <v>693</v>
      </c>
      <c r="D92" s="520" t="s">
        <v>595</v>
      </c>
      <c r="E92" s="519">
        <v>0.05</v>
      </c>
      <c r="F92" s="521"/>
      <c r="G92" s="522"/>
      <c r="H92" s="271">
        <f t="shared" si="1"/>
        <v>0</v>
      </c>
    </row>
    <row r="93" spans="1:8" s="523" customFormat="1">
      <c r="A93" s="519">
        <v>89</v>
      </c>
      <c r="B93" s="519" t="s">
        <v>692</v>
      </c>
      <c r="C93" s="524" t="s">
        <v>694</v>
      </c>
      <c r="D93" s="520" t="s">
        <v>695</v>
      </c>
      <c r="E93" s="519">
        <v>1</v>
      </c>
      <c r="F93" s="521"/>
      <c r="G93" s="522"/>
      <c r="H93" s="271">
        <f t="shared" si="1"/>
        <v>0</v>
      </c>
    </row>
    <row r="94" spans="1:8" s="523" customFormat="1">
      <c r="A94" s="519">
        <v>90</v>
      </c>
      <c r="B94" s="519" t="s">
        <v>692</v>
      </c>
      <c r="C94" s="524" t="s">
        <v>696</v>
      </c>
      <c r="D94" s="520" t="s">
        <v>697</v>
      </c>
      <c r="E94" s="519">
        <v>1600</v>
      </c>
      <c r="F94" s="521"/>
      <c r="G94" s="522"/>
      <c r="H94" s="271">
        <f t="shared" si="1"/>
        <v>0</v>
      </c>
    </row>
    <row r="95" spans="1:8" s="523" customFormat="1" ht="33.65" customHeight="1">
      <c r="A95" s="519">
        <v>91</v>
      </c>
      <c r="B95" s="519" t="s">
        <v>692</v>
      </c>
      <c r="C95" s="524" t="s">
        <v>698</v>
      </c>
      <c r="D95" s="520" t="s">
        <v>697</v>
      </c>
      <c r="E95" s="519">
        <v>1600</v>
      </c>
      <c r="F95" s="521"/>
      <c r="G95" s="522"/>
      <c r="H95" s="271">
        <f t="shared" si="1"/>
        <v>0</v>
      </c>
    </row>
    <row r="96" spans="1:8" s="523" customFormat="1">
      <c r="A96" s="519">
        <v>92</v>
      </c>
      <c r="B96" s="519" t="s">
        <v>692</v>
      </c>
      <c r="C96" s="524" t="s">
        <v>699</v>
      </c>
      <c r="D96" s="520" t="s">
        <v>700</v>
      </c>
      <c r="E96" s="519">
        <v>1</v>
      </c>
      <c r="F96" s="521"/>
      <c r="G96" s="522"/>
      <c r="H96" s="271">
        <f t="shared" si="1"/>
        <v>0</v>
      </c>
    </row>
    <row r="97" spans="1:8" s="523" customFormat="1">
      <c r="A97" s="519">
        <v>93</v>
      </c>
      <c r="B97" s="519" t="s">
        <v>692</v>
      </c>
      <c r="C97" s="524" t="s">
        <v>701</v>
      </c>
      <c r="D97" s="520" t="s">
        <v>700</v>
      </c>
      <c r="E97" s="519">
        <v>1</v>
      </c>
      <c r="F97" s="521"/>
      <c r="G97" s="522"/>
      <c r="H97" s="271">
        <f t="shared" si="1"/>
        <v>0</v>
      </c>
    </row>
    <row r="98" spans="1:8" s="523" customFormat="1">
      <c r="A98" s="519">
        <v>94</v>
      </c>
      <c r="B98" s="519" t="s">
        <v>692</v>
      </c>
      <c r="C98" s="524" t="s">
        <v>702</v>
      </c>
      <c r="D98" s="520" t="s">
        <v>700</v>
      </c>
      <c r="E98" s="519">
        <v>1</v>
      </c>
      <c r="F98" s="521"/>
      <c r="G98" s="522"/>
      <c r="H98" s="271">
        <f t="shared" si="1"/>
        <v>0</v>
      </c>
    </row>
    <row r="99" spans="1:8" s="523" customFormat="1">
      <c r="A99" s="519">
        <v>95</v>
      </c>
      <c r="B99" s="519" t="s">
        <v>692</v>
      </c>
      <c r="C99" s="524" t="s">
        <v>703</v>
      </c>
      <c r="D99" s="520" t="s">
        <v>697</v>
      </c>
      <c r="E99" s="519">
        <v>1800</v>
      </c>
      <c r="F99" s="521"/>
      <c r="G99" s="522"/>
      <c r="H99" s="271">
        <f t="shared" si="1"/>
        <v>0</v>
      </c>
    </row>
    <row r="100" spans="1:8" s="523" customFormat="1">
      <c r="A100" s="519">
        <v>96</v>
      </c>
      <c r="B100" s="519" t="s">
        <v>692</v>
      </c>
      <c r="C100" s="524" t="s">
        <v>704</v>
      </c>
      <c r="D100" s="520" t="s">
        <v>700</v>
      </c>
      <c r="E100" s="519">
        <v>1</v>
      </c>
      <c r="F100" s="521"/>
      <c r="G100" s="522"/>
      <c r="H100" s="271">
        <f t="shared" si="1"/>
        <v>0</v>
      </c>
    </row>
    <row r="101" spans="1:8" s="523" customFormat="1" ht="36.65" customHeight="1">
      <c r="A101" s="519">
        <v>97</v>
      </c>
      <c r="B101" s="519" t="s">
        <v>692</v>
      </c>
      <c r="C101" s="524" t="s">
        <v>705</v>
      </c>
      <c r="D101" s="520" t="s">
        <v>700</v>
      </c>
      <c r="E101" s="519">
        <v>1</v>
      </c>
      <c r="F101" s="521"/>
      <c r="G101" s="522"/>
      <c r="H101" s="271">
        <f t="shared" si="1"/>
        <v>0</v>
      </c>
    </row>
    <row r="102" spans="1:8" s="523" customFormat="1">
      <c r="A102" s="519">
        <v>98</v>
      </c>
      <c r="B102" s="519" t="s">
        <v>692</v>
      </c>
      <c r="C102" s="524" t="s">
        <v>706</v>
      </c>
      <c r="D102" s="520" t="s">
        <v>707</v>
      </c>
      <c r="E102" s="519">
        <v>1</v>
      </c>
      <c r="F102" s="521"/>
      <c r="G102" s="522"/>
      <c r="H102" s="271">
        <f t="shared" si="1"/>
        <v>0</v>
      </c>
    </row>
    <row r="103" spans="1:8" s="523" customFormat="1">
      <c r="A103" s="519">
        <v>99</v>
      </c>
      <c r="B103" s="519" t="s">
        <v>692</v>
      </c>
      <c r="C103" s="524" t="s">
        <v>708</v>
      </c>
      <c r="D103" s="520" t="s">
        <v>709</v>
      </c>
      <c r="E103" s="519">
        <v>1</v>
      </c>
      <c r="F103" s="521"/>
      <c r="G103" s="522"/>
      <c r="H103" s="271">
        <f t="shared" si="1"/>
        <v>0</v>
      </c>
    </row>
    <row r="104" spans="1:8" s="523" customFormat="1" ht="27.65" customHeight="1">
      <c r="A104" s="519">
        <v>100</v>
      </c>
      <c r="B104" s="519" t="s">
        <v>692</v>
      </c>
      <c r="C104" s="524" t="s">
        <v>710</v>
      </c>
      <c r="D104" s="519" t="s">
        <v>465</v>
      </c>
      <c r="E104" s="519">
        <v>50</v>
      </c>
      <c r="F104" s="522"/>
      <c r="G104" s="522"/>
      <c r="H104" s="271">
        <f t="shared" si="1"/>
        <v>0</v>
      </c>
    </row>
    <row r="105" spans="1:8" s="523" customFormat="1">
      <c r="A105" s="519">
        <v>101</v>
      </c>
      <c r="B105" s="519" t="s">
        <v>692</v>
      </c>
      <c r="C105" s="519" t="s">
        <v>711</v>
      </c>
      <c r="D105" s="520" t="s">
        <v>170</v>
      </c>
      <c r="E105" s="519">
        <v>21</v>
      </c>
      <c r="F105" s="521"/>
      <c r="G105" s="522"/>
      <c r="H105" s="271">
        <f t="shared" si="1"/>
        <v>0</v>
      </c>
    </row>
    <row r="106" spans="1:8" s="523" customFormat="1">
      <c r="A106" s="519">
        <v>102</v>
      </c>
      <c r="B106" s="519" t="s">
        <v>608</v>
      </c>
      <c r="C106" s="524" t="s">
        <v>712</v>
      </c>
      <c r="D106" s="520" t="s">
        <v>170</v>
      </c>
      <c r="E106" s="519">
        <v>0.41</v>
      </c>
      <c r="F106" s="521"/>
      <c r="G106" s="522"/>
      <c r="H106" s="271">
        <f t="shared" si="1"/>
        <v>0</v>
      </c>
    </row>
    <row r="107" spans="1:8" s="523" customFormat="1">
      <c r="A107" s="519">
        <v>103</v>
      </c>
      <c r="B107" s="519" t="s">
        <v>608</v>
      </c>
      <c r="C107" s="524" t="s">
        <v>713</v>
      </c>
      <c r="D107" s="520" t="s">
        <v>170</v>
      </c>
      <c r="E107" s="519">
        <v>0.41</v>
      </c>
      <c r="F107" s="521"/>
      <c r="G107" s="522"/>
      <c r="H107" s="271">
        <f t="shared" si="1"/>
        <v>0</v>
      </c>
    </row>
    <row r="108" spans="1:8" s="523" customFormat="1">
      <c r="A108" s="519">
        <v>104</v>
      </c>
      <c r="B108" s="519" t="s">
        <v>598</v>
      </c>
      <c r="C108" s="519" t="s">
        <v>714</v>
      </c>
      <c r="D108" s="520" t="s">
        <v>595</v>
      </c>
      <c r="E108" s="519">
        <v>0.15</v>
      </c>
      <c r="F108" s="521"/>
      <c r="G108" s="522"/>
      <c r="H108" s="271">
        <f t="shared" si="1"/>
        <v>0</v>
      </c>
    </row>
    <row r="109" spans="1:8" s="523" customFormat="1">
      <c r="A109" s="519">
        <v>105</v>
      </c>
      <c r="B109" s="519" t="s">
        <v>602</v>
      </c>
      <c r="C109" s="524" t="s">
        <v>715</v>
      </c>
      <c r="D109" s="520" t="s">
        <v>170</v>
      </c>
      <c r="E109" s="519">
        <v>30</v>
      </c>
      <c r="F109" s="521"/>
      <c r="G109" s="522"/>
      <c r="H109" s="271">
        <f t="shared" si="1"/>
        <v>0</v>
      </c>
    </row>
    <row r="110" spans="1:8" s="523" customFormat="1">
      <c r="A110" s="519">
        <v>106</v>
      </c>
      <c r="B110" s="519" t="s">
        <v>598</v>
      </c>
      <c r="C110" s="519" t="s">
        <v>716</v>
      </c>
      <c r="D110" s="520" t="s">
        <v>595</v>
      </c>
      <c r="E110" s="519">
        <f>4.2/6</f>
        <v>0.70000000000000007</v>
      </c>
      <c r="F110" s="521"/>
      <c r="G110" s="522"/>
      <c r="H110" s="271">
        <f t="shared" si="1"/>
        <v>0</v>
      </c>
    </row>
    <row r="111" spans="1:8" s="523" customFormat="1">
      <c r="A111" s="519">
        <v>107</v>
      </c>
      <c r="B111" s="519" t="s">
        <v>598</v>
      </c>
      <c r="C111" s="519" t="s">
        <v>717</v>
      </c>
      <c r="D111" s="520" t="s">
        <v>170</v>
      </c>
      <c r="E111" s="519">
        <v>0.86</v>
      </c>
      <c r="F111" s="521"/>
      <c r="G111" s="522"/>
      <c r="H111" s="271">
        <f t="shared" si="1"/>
        <v>0</v>
      </c>
    </row>
    <row r="112" spans="1:8" s="523" customFormat="1">
      <c r="A112" s="519">
        <v>108</v>
      </c>
      <c r="B112" s="519" t="s">
        <v>598</v>
      </c>
      <c r="C112" s="519" t="s">
        <v>718</v>
      </c>
      <c r="D112" s="520" t="s">
        <v>170</v>
      </c>
      <c r="E112" s="519">
        <v>0.2</v>
      </c>
      <c r="F112" s="521"/>
      <c r="G112" s="522"/>
      <c r="H112" s="271">
        <f t="shared" si="1"/>
        <v>0</v>
      </c>
    </row>
    <row r="113" spans="1:8" s="523" customFormat="1">
      <c r="A113" s="519">
        <v>109</v>
      </c>
      <c r="B113" s="519" t="s">
        <v>598</v>
      </c>
      <c r="C113" s="519" t="s">
        <v>719</v>
      </c>
      <c r="D113" s="520" t="s">
        <v>170</v>
      </c>
      <c r="E113" s="519">
        <v>0.2</v>
      </c>
      <c r="F113" s="521"/>
      <c r="G113" s="522"/>
      <c r="H113" s="271">
        <f t="shared" si="1"/>
        <v>0</v>
      </c>
    </row>
    <row r="114" spans="1:8" s="523" customFormat="1">
      <c r="A114" s="519">
        <v>110</v>
      </c>
      <c r="B114" s="519" t="s">
        <v>666</v>
      </c>
      <c r="C114" s="519" t="s">
        <v>720</v>
      </c>
      <c r="D114" s="520" t="s">
        <v>595</v>
      </c>
      <c r="E114" s="519">
        <v>0.01</v>
      </c>
      <c r="F114" s="521"/>
      <c r="G114" s="522"/>
      <c r="H114" s="271">
        <f t="shared" si="1"/>
        <v>0</v>
      </c>
    </row>
    <row r="115" spans="1:8" s="523" customFormat="1">
      <c r="A115" s="519">
        <v>111</v>
      </c>
      <c r="B115" s="519" t="s">
        <v>666</v>
      </c>
      <c r="C115" s="519" t="s">
        <v>721</v>
      </c>
      <c r="D115" s="520" t="s">
        <v>595</v>
      </c>
      <c r="E115" s="519">
        <v>0.01</v>
      </c>
      <c r="F115" s="521"/>
      <c r="G115" s="522"/>
      <c r="H115" s="271">
        <f t="shared" si="1"/>
        <v>0</v>
      </c>
    </row>
    <row r="116" spans="1:8" s="523" customFormat="1">
      <c r="A116" s="519">
        <v>112</v>
      </c>
      <c r="B116" s="519" t="s">
        <v>593</v>
      </c>
      <c r="C116" s="519" t="s">
        <v>722</v>
      </c>
      <c r="D116" s="520" t="s">
        <v>595</v>
      </c>
      <c r="E116" s="519">
        <v>0.67</v>
      </c>
      <c r="F116" s="521"/>
      <c r="G116" s="522"/>
      <c r="H116" s="271">
        <f t="shared" si="1"/>
        <v>0</v>
      </c>
    </row>
    <row r="117" spans="1:8" s="523" customFormat="1">
      <c r="A117" s="519">
        <v>113</v>
      </c>
      <c r="B117" s="519" t="s">
        <v>593</v>
      </c>
      <c r="C117" s="519" t="s">
        <v>723</v>
      </c>
      <c r="D117" s="520" t="s">
        <v>595</v>
      </c>
      <c r="E117" s="519">
        <v>0.64</v>
      </c>
      <c r="F117" s="521"/>
      <c r="G117" s="522"/>
      <c r="H117" s="271">
        <f t="shared" si="1"/>
        <v>0</v>
      </c>
    </row>
    <row r="118" spans="1:8" s="523" customFormat="1" ht="42">
      <c r="A118" s="519">
        <v>114</v>
      </c>
      <c r="B118" s="519" t="s">
        <v>724</v>
      </c>
      <c r="C118" s="524" t="s">
        <v>725</v>
      </c>
      <c r="D118" s="519" t="s">
        <v>170</v>
      </c>
      <c r="E118" s="519">
        <v>150</v>
      </c>
      <c r="F118" s="522"/>
      <c r="G118" s="522"/>
      <c r="H118" s="271">
        <f t="shared" si="1"/>
        <v>0</v>
      </c>
    </row>
    <row r="119" spans="1:8" s="523" customFormat="1">
      <c r="A119" s="519">
        <v>115</v>
      </c>
      <c r="B119" s="519" t="s">
        <v>604</v>
      </c>
      <c r="C119" s="519" t="s">
        <v>726</v>
      </c>
      <c r="D119" s="520" t="s">
        <v>170</v>
      </c>
      <c r="E119" s="519">
        <v>1</v>
      </c>
      <c r="F119" s="521"/>
      <c r="G119" s="522"/>
      <c r="H119" s="271">
        <f t="shared" si="1"/>
        <v>0</v>
      </c>
    </row>
    <row r="120" spans="1:8" s="523" customFormat="1">
      <c r="A120" s="519">
        <v>116</v>
      </c>
      <c r="B120" s="519" t="s">
        <v>598</v>
      </c>
      <c r="C120" s="519" t="s">
        <v>727</v>
      </c>
      <c r="D120" s="520" t="s">
        <v>170</v>
      </c>
      <c r="E120" s="519">
        <v>0.1</v>
      </c>
      <c r="F120" s="521"/>
      <c r="G120" s="522"/>
      <c r="H120" s="271">
        <f t="shared" si="1"/>
        <v>0</v>
      </c>
    </row>
    <row r="121" spans="1:8" s="523" customFormat="1">
      <c r="A121" s="519">
        <v>117</v>
      </c>
      <c r="B121" s="519" t="s">
        <v>666</v>
      </c>
      <c r="C121" s="519" t="s">
        <v>728</v>
      </c>
      <c r="D121" s="520" t="s">
        <v>595</v>
      </c>
      <c r="E121" s="519">
        <v>0.01</v>
      </c>
      <c r="F121" s="521"/>
      <c r="G121" s="522"/>
      <c r="H121" s="271">
        <f t="shared" si="1"/>
        <v>0</v>
      </c>
    </row>
    <row r="122" spans="1:8" s="523" customFormat="1">
      <c r="A122" s="519">
        <v>118</v>
      </c>
      <c r="B122" s="519" t="s">
        <v>602</v>
      </c>
      <c r="C122" s="519" t="s">
        <v>729</v>
      </c>
      <c r="D122" s="520" t="s">
        <v>170</v>
      </c>
      <c r="E122" s="519">
        <v>1.21</v>
      </c>
      <c r="F122" s="521"/>
      <c r="G122" s="522"/>
      <c r="H122" s="271">
        <f t="shared" si="1"/>
        <v>0</v>
      </c>
    </row>
    <row r="123" spans="1:8" s="523" customFormat="1">
      <c r="A123" s="519">
        <v>119</v>
      </c>
      <c r="B123" s="519" t="s">
        <v>608</v>
      </c>
      <c r="C123" s="519" t="s">
        <v>730</v>
      </c>
      <c r="D123" s="520" t="s">
        <v>170</v>
      </c>
      <c r="E123" s="519">
        <v>0.24</v>
      </c>
      <c r="F123" s="521"/>
      <c r="G123" s="522"/>
      <c r="H123" s="271">
        <f t="shared" si="1"/>
        <v>0</v>
      </c>
    </row>
    <row r="124" spans="1:8" s="523" customFormat="1">
      <c r="A124" s="519">
        <v>120</v>
      </c>
      <c r="B124" s="519" t="s">
        <v>668</v>
      </c>
      <c r="C124" s="519" t="s">
        <v>731</v>
      </c>
      <c r="D124" s="520" t="s">
        <v>170</v>
      </c>
      <c r="E124" s="519">
        <v>6.8000000000000005E-2</v>
      </c>
      <c r="F124" s="521"/>
      <c r="G124" s="522"/>
      <c r="H124" s="271">
        <f t="shared" si="1"/>
        <v>0</v>
      </c>
    </row>
    <row r="125" spans="1:8" s="523" customFormat="1">
      <c r="A125" s="519">
        <v>121</v>
      </c>
      <c r="B125" s="519" t="s">
        <v>668</v>
      </c>
      <c r="C125" s="519" t="s">
        <v>732</v>
      </c>
      <c r="D125" s="520" t="s">
        <v>170</v>
      </c>
      <c r="E125" s="519">
        <v>5.8999999999999997E-2</v>
      </c>
      <c r="F125" s="521"/>
      <c r="G125" s="522"/>
      <c r="H125" s="271">
        <f t="shared" si="1"/>
        <v>0</v>
      </c>
    </row>
    <row r="126" spans="1:8" s="523" customFormat="1">
      <c r="A126" s="519">
        <v>122</v>
      </c>
      <c r="B126" s="519" t="s">
        <v>668</v>
      </c>
      <c r="C126" s="519" t="s">
        <v>733</v>
      </c>
      <c r="D126" s="520" t="s">
        <v>170</v>
      </c>
      <c r="E126" s="519">
        <v>0.03</v>
      </c>
      <c r="F126" s="521"/>
      <c r="G126" s="522"/>
      <c r="H126" s="271">
        <f t="shared" si="1"/>
        <v>0</v>
      </c>
    </row>
    <row r="127" spans="1:8" s="523" customFormat="1">
      <c r="A127" s="519">
        <v>123</v>
      </c>
      <c r="B127" s="519" t="s">
        <v>593</v>
      </c>
      <c r="C127" s="519" t="s">
        <v>734</v>
      </c>
      <c r="D127" s="520" t="s">
        <v>170</v>
      </c>
      <c r="E127" s="519">
        <v>0.01</v>
      </c>
      <c r="F127" s="521"/>
      <c r="G127" s="522"/>
      <c r="H127" s="271">
        <f t="shared" si="1"/>
        <v>0</v>
      </c>
    </row>
    <row r="128" spans="1:8" s="523" customFormat="1">
      <c r="A128" s="519">
        <v>124</v>
      </c>
      <c r="B128" s="519" t="s">
        <v>593</v>
      </c>
      <c r="C128" s="519" t="s">
        <v>735</v>
      </c>
      <c r="D128" s="520" t="s">
        <v>595</v>
      </c>
      <c r="E128" s="519">
        <v>3.4000000000000002E-2</v>
      </c>
      <c r="F128" s="521"/>
      <c r="G128" s="522"/>
      <c r="H128" s="271">
        <f t="shared" si="1"/>
        <v>0</v>
      </c>
    </row>
    <row r="129" spans="1:8" s="523" customFormat="1">
      <c r="A129" s="519">
        <v>125</v>
      </c>
      <c r="B129" s="519" t="s">
        <v>666</v>
      </c>
      <c r="C129" s="519" t="s">
        <v>736</v>
      </c>
      <c r="D129" s="520" t="s">
        <v>170</v>
      </c>
      <c r="E129" s="519">
        <v>1E-3</v>
      </c>
      <c r="F129" s="521"/>
      <c r="G129" s="522"/>
      <c r="H129" s="271">
        <f t="shared" si="1"/>
        <v>0</v>
      </c>
    </row>
    <row r="130" spans="1:8" s="523" customFormat="1">
      <c r="A130" s="519">
        <v>126</v>
      </c>
      <c r="B130" s="519" t="s">
        <v>668</v>
      </c>
      <c r="C130" s="519" t="s">
        <v>737</v>
      </c>
      <c r="D130" s="520" t="s">
        <v>170</v>
      </c>
      <c r="E130" s="519">
        <v>0.05</v>
      </c>
      <c r="F130" s="521"/>
      <c r="G130" s="522"/>
      <c r="H130" s="271">
        <f t="shared" si="1"/>
        <v>0</v>
      </c>
    </row>
    <row r="131" spans="1:8" s="523" customFormat="1" ht="28">
      <c r="A131" s="519">
        <v>127</v>
      </c>
      <c r="B131" s="519" t="s">
        <v>666</v>
      </c>
      <c r="C131" s="524" t="s">
        <v>738</v>
      </c>
      <c r="D131" s="519" t="s">
        <v>170</v>
      </c>
      <c r="E131" s="519">
        <v>5</v>
      </c>
      <c r="F131" s="521"/>
      <c r="G131" s="522"/>
      <c r="H131" s="271">
        <f t="shared" si="1"/>
        <v>0</v>
      </c>
    </row>
    <row r="132" spans="1:8" s="523" customFormat="1">
      <c r="A132" s="519">
        <v>128</v>
      </c>
      <c r="B132" s="519" t="s">
        <v>666</v>
      </c>
      <c r="C132" s="519" t="s">
        <v>739</v>
      </c>
      <c r="D132" s="520" t="s">
        <v>595</v>
      </c>
      <c r="E132" s="519">
        <v>1</v>
      </c>
      <c r="F132" s="521"/>
      <c r="G132" s="522"/>
      <c r="H132" s="271">
        <f t="shared" si="1"/>
        <v>0</v>
      </c>
    </row>
    <row r="133" spans="1:8" s="523" customFormat="1">
      <c r="A133" s="519">
        <v>129</v>
      </c>
      <c r="B133" s="519" t="s">
        <v>598</v>
      </c>
      <c r="C133" s="519" t="s">
        <v>740</v>
      </c>
      <c r="D133" s="520" t="s">
        <v>170</v>
      </c>
      <c r="E133" s="519">
        <v>0.1</v>
      </c>
      <c r="F133" s="521"/>
      <c r="G133" s="522"/>
      <c r="H133" s="271">
        <f t="shared" ref="H133:H196" si="2">+$H$2</f>
        <v>0</v>
      </c>
    </row>
    <row r="134" spans="1:8" s="523" customFormat="1">
      <c r="A134" s="519">
        <v>130</v>
      </c>
      <c r="B134" s="519" t="s">
        <v>598</v>
      </c>
      <c r="C134" s="519" t="s">
        <v>741</v>
      </c>
      <c r="D134" s="520" t="s">
        <v>170</v>
      </c>
      <c r="E134" s="519">
        <v>0.1</v>
      </c>
      <c r="F134" s="521"/>
      <c r="G134" s="522"/>
      <c r="H134" s="271">
        <f t="shared" si="2"/>
        <v>0</v>
      </c>
    </row>
    <row r="135" spans="1:8" s="523" customFormat="1">
      <c r="A135" s="519">
        <v>131</v>
      </c>
      <c r="B135" s="519" t="s">
        <v>593</v>
      </c>
      <c r="C135" s="519" t="s">
        <v>742</v>
      </c>
      <c r="D135" s="520" t="s">
        <v>595</v>
      </c>
      <c r="E135" s="519">
        <v>5.8200000000000002E-2</v>
      </c>
      <c r="F135" s="521"/>
      <c r="G135" s="522"/>
      <c r="H135" s="271">
        <f t="shared" si="2"/>
        <v>0</v>
      </c>
    </row>
    <row r="136" spans="1:8" s="523" customFormat="1">
      <c r="A136" s="519">
        <v>132</v>
      </c>
      <c r="B136" s="519" t="s">
        <v>593</v>
      </c>
      <c r="C136" s="519" t="s">
        <v>743</v>
      </c>
      <c r="D136" s="520" t="s">
        <v>595</v>
      </c>
      <c r="E136" s="519">
        <f>2.95/50</f>
        <v>5.9000000000000004E-2</v>
      </c>
      <c r="F136" s="521"/>
      <c r="G136" s="522"/>
      <c r="H136" s="271">
        <f t="shared" si="2"/>
        <v>0</v>
      </c>
    </row>
    <row r="137" spans="1:8" s="523" customFormat="1">
      <c r="A137" s="519">
        <v>133</v>
      </c>
      <c r="B137" s="519" t="s">
        <v>598</v>
      </c>
      <c r="C137" s="519" t="s">
        <v>744</v>
      </c>
      <c r="D137" s="520" t="s">
        <v>170</v>
      </c>
      <c r="E137" s="519">
        <v>0.18</v>
      </c>
      <c r="F137" s="521"/>
      <c r="G137" s="522"/>
      <c r="H137" s="271">
        <f t="shared" si="2"/>
        <v>0</v>
      </c>
    </row>
    <row r="138" spans="1:8" s="523" customFormat="1">
      <c r="A138" s="519">
        <v>134</v>
      </c>
      <c r="B138" s="519" t="s">
        <v>598</v>
      </c>
      <c r="C138" s="519" t="s">
        <v>745</v>
      </c>
      <c r="D138" s="520" t="s">
        <v>595</v>
      </c>
      <c r="E138" s="526">
        <f>5.17/3</f>
        <v>1.7233333333333334</v>
      </c>
      <c r="F138" s="521"/>
      <c r="G138" s="522"/>
      <c r="H138" s="271">
        <f t="shared" si="2"/>
        <v>0</v>
      </c>
    </row>
    <row r="139" spans="1:8" s="523" customFormat="1">
      <c r="A139" s="519">
        <v>135</v>
      </c>
      <c r="B139" s="519" t="s">
        <v>638</v>
      </c>
      <c r="C139" s="519" t="s">
        <v>746</v>
      </c>
      <c r="D139" s="520" t="s">
        <v>170</v>
      </c>
      <c r="E139" s="519">
        <v>0.5</v>
      </c>
      <c r="F139" s="521"/>
      <c r="G139" s="522"/>
      <c r="H139" s="271">
        <f t="shared" si="2"/>
        <v>0</v>
      </c>
    </row>
    <row r="140" spans="1:8" s="523" customFormat="1">
      <c r="A140" s="519">
        <v>136</v>
      </c>
      <c r="B140" s="519" t="s">
        <v>604</v>
      </c>
      <c r="C140" s="519" t="s">
        <v>747</v>
      </c>
      <c r="D140" s="520" t="s">
        <v>170</v>
      </c>
      <c r="E140" s="519">
        <v>1</v>
      </c>
      <c r="F140" s="521"/>
      <c r="G140" s="522"/>
      <c r="H140" s="271">
        <f t="shared" si="2"/>
        <v>0</v>
      </c>
    </row>
    <row r="141" spans="1:8" s="523" customFormat="1">
      <c r="A141" s="519">
        <v>137</v>
      </c>
      <c r="B141" s="519" t="s">
        <v>598</v>
      </c>
      <c r="C141" s="519" t="s">
        <v>748</v>
      </c>
      <c r="D141" s="520" t="s">
        <v>595</v>
      </c>
      <c r="E141" s="519">
        <v>0.1</v>
      </c>
      <c r="F141" s="521"/>
      <c r="G141" s="522"/>
      <c r="H141" s="271">
        <f t="shared" si="2"/>
        <v>0</v>
      </c>
    </row>
    <row r="142" spans="1:8" s="523" customFormat="1">
      <c r="A142" s="519">
        <v>138</v>
      </c>
      <c r="B142" s="519" t="s">
        <v>666</v>
      </c>
      <c r="C142" s="519" t="s">
        <v>749</v>
      </c>
      <c r="D142" s="520" t="s">
        <v>170</v>
      </c>
      <c r="E142" s="519">
        <v>0.2</v>
      </c>
      <c r="F142" s="521"/>
      <c r="G142" s="522"/>
      <c r="H142" s="271">
        <f t="shared" si="2"/>
        <v>0</v>
      </c>
    </row>
    <row r="143" spans="1:8" s="523" customFormat="1" ht="77.5" customHeight="1">
      <c r="A143" s="519">
        <v>139</v>
      </c>
      <c r="B143" s="519" t="s">
        <v>602</v>
      </c>
      <c r="C143" s="524" t="s">
        <v>750</v>
      </c>
      <c r="D143" s="519" t="s">
        <v>170</v>
      </c>
      <c r="E143" s="519">
        <v>15</v>
      </c>
      <c r="F143" s="522"/>
      <c r="G143" s="522"/>
      <c r="H143" s="271">
        <f t="shared" si="2"/>
        <v>0</v>
      </c>
    </row>
    <row r="144" spans="1:8" s="523" customFormat="1">
      <c r="A144" s="519">
        <v>140</v>
      </c>
      <c r="B144" s="519" t="s">
        <v>666</v>
      </c>
      <c r="C144" s="519" t="s">
        <v>751</v>
      </c>
      <c r="D144" s="520" t="s">
        <v>629</v>
      </c>
      <c r="E144" s="519">
        <v>0.01</v>
      </c>
      <c r="F144" s="521"/>
      <c r="G144" s="522"/>
      <c r="H144" s="271">
        <f t="shared" si="2"/>
        <v>0</v>
      </c>
    </row>
    <row r="145" spans="1:8" s="523" customFormat="1">
      <c r="A145" s="519">
        <v>141</v>
      </c>
      <c r="B145" s="519" t="s">
        <v>666</v>
      </c>
      <c r="C145" s="519" t="s">
        <v>752</v>
      </c>
      <c r="D145" s="520" t="s">
        <v>170</v>
      </c>
      <c r="E145" s="519">
        <v>5.0000000000000001E-3</v>
      </c>
      <c r="F145" s="521"/>
      <c r="G145" s="522"/>
      <c r="H145" s="271">
        <f t="shared" si="2"/>
        <v>0</v>
      </c>
    </row>
    <row r="146" spans="1:8" s="523" customFormat="1">
      <c r="A146" s="519">
        <v>142</v>
      </c>
      <c r="B146" s="519" t="s">
        <v>608</v>
      </c>
      <c r="C146" s="519" t="s">
        <v>753</v>
      </c>
      <c r="D146" s="520" t="s">
        <v>170</v>
      </c>
      <c r="E146" s="519">
        <v>0.24</v>
      </c>
      <c r="F146" s="521"/>
      <c r="G146" s="522"/>
      <c r="H146" s="271">
        <f t="shared" si="2"/>
        <v>0</v>
      </c>
    </row>
    <row r="147" spans="1:8" s="523" customFormat="1">
      <c r="A147" s="519">
        <v>143</v>
      </c>
      <c r="B147" s="519" t="s">
        <v>608</v>
      </c>
      <c r="C147" s="519" t="s">
        <v>754</v>
      </c>
      <c r="D147" s="520" t="s">
        <v>170</v>
      </c>
      <c r="E147" s="519">
        <v>0.3</v>
      </c>
      <c r="F147" s="521"/>
      <c r="G147" s="522"/>
      <c r="H147" s="271">
        <f t="shared" si="2"/>
        <v>0</v>
      </c>
    </row>
    <row r="148" spans="1:8" s="523" customFormat="1">
      <c r="A148" s="519">
        <v>144</v>
      </c>
      <c r="B148" s="519" t="s">
        <v>608</v>
      </c>
      <c r="C148" s="519" t="s">
        <v>755</v>
      </c>
      <c r="D148" s="520" t="s">
        <v>170</v>
      </c>
      <c r="E148" s="519">
        <v>0.16</v>
      </c>
      <c r="F148" s="521"/>
      <c r="G148" s="522"/>
      <c r="H148" s="271">
        <f t="shared" si="2"/>
        <v>0</v>
      </c>
    </row>
    <row r="149" spans="1:8" s="523" customFormat="1">
      <c r="A149" s="519">
        <v>145</v>
      </c>
      <c r="B149" s="519" t="s">
        <v>593</v>
      </c>
      <c r="C149" s="519" t="s">
        <v>756</v>
      </c>
      <c r="D149" s="520" t="s">
        <v>595</v>
      </c>
      <c r="E149" s="519">
        <v>0.4</v>
      </c>
      <c r="F149" s="521"/>
      <c r="G149" s="522"/>
      <c r="H149" s="271">
        <f t="shared" si="2"/>
        <v>0</v>
      </c>
    </row>
    <row r="150" spans="1:8" s="523" customFormat="1">
      <c r="A150" s="519">
        <v>146</v>
      </c>
      <c r="B150" s="519" t="s">
        <v>593</v>
      </c>
      <c r="C150" s="519" t="s">
        <v>757</v>
      </c>
      <c r="D150" s="520" t="s">
        <v>595</v>
      </c>
      <c r="E150" s="519">
        <v>0.35899999999999999</v>
      </c>
      <c r="F150" s="521"/>
      <c r="G150" s="522"/>
      <c r="H150" s="271">
        <f t="shared" si="2"/>
        <v>0</v>
      </c>
    </row>
    <row r="151" spans="1:8" s="523" customFormat="1">
      <c r="A151" s="519">
        <v>147</v>
      </c>
      <c r="B151" s="519" t="s">
        <v>591</v>
      </c>
      <c r="C151" s="519" t="s">
        <v>758</v>
      </c>
      <c r="D151" s="520" t="s">
        <v>170</v>
      </c>
      <c r="E151" s="519">
        <v>2.5</v>
      </c>
      <c r="F151" s="521"/>
      <c r="G151" s="522"/>
      <c r="H151" s="271">
        <f t="shared" si="2"/>
        <v>0</v>
      </c>
    </row>
    <row r="152" spans="1:8" s="523" customFormat="1" ht="28">
      <c r="A152" s="519">
        <v>148</v>
      </c>
      <c r="B152" s="519" t="s">
        <v>591</v>
      </c>
      <c r="C152" s="524" t="s">
        <v>759</v>
      </c>
      <c r="D152" s="519" t="s">
        <v>170</v>
      </c>
      <c r="E152" s="519">
        <v>45</v>
      </c>
      <c r="F152" s="521"/>
      <c r="G152" s="522"/>
      <c r="H152" s="271">
        <f t="shared" si="2"/>
        <v>0</v>
      </c>
    </row>
    <row r="153" spans="1:8" s="523" customFormat="1">
      <c r="A153" s="519">
        <v>149</v>
      </c>
      <c r="B153" s="519" t="s">
        <v>591</v>
      </c>
      <c r="C153" s="524" t="s">
        <v>760</v>
      </c>
      <c r="D153" s="520" t="s">
        <v>170</v>
      </c>
      <c r="E153" s="519">
        <v>4.5999999999999996</v>
      </c>
      <c r="F153" s="521"/>
      <c r="G153" s="522"/>
      <c r="H153" s="271">
        <f t="shared" si="2"/>
        <v>0</v>
      </c>
    </row>
    <row r="154" spans="1:8" s="523" customFormat="1">
      <c r="A154" s="519">
        <v>150</v>
      </c>
      <c r="B154" s="519" t="s">
        <v>692</v>
      </c>
      <c r="C154" s="519" t="s">
        <v>761</v>
      </c>
      <c r="D154" s="520" t="s">
        <v>700</v>
      </c>
      <c r="E154" s="519">
        <v>1</v>
      </c>
      <c r="F154" s="521"/>
      <c r="G154" s="522"/>
      <c r="H154" s="271">
        <f t="shared" si="2"/>
        <v>0</v>
      </c>
    </row>
    <row r="155" spans="1:8" s="523" customFormat="1">
      <c r="A155" s="519">
        <v>151</v>
      </c>
      <c r="B155" s="519" t="s">
        <v>692</v>
      </c>
      <c r="C155" s="519" t="s">
        <v>762</v>
      </c>
      <c r="D155" s="520" t="s">
        <v>170</v>
      </c>
      <c r="E155" s="519">
        <v>40</v>
      </c>
      <c r="F155" s="521"/>
      <c r="G155" s="522"/>
      <c r="H155" s="271">
        <f t="shared" si="2"/>
        <v>0</v>
      </c>
    </row>
    <row r="156" spans="1:8" s="523" customFormat="1">
      <c r="A156" s="519">
        <v>152</v>
      </c>
      <c r="B156" s="519" t="s">
        <v>654</v>
      </c>
      <c r="C156" s="519" t="s">
        <v>763</v>
      </c>
      <c r="D156" s="520" t="s">
        <v>170</v>
      </c>
      <c r="E156" s="519">
        <v>2</v>
      </c>
      <c r="F156" s="521"/>
      <c r="G156" s="522"/>
      <c r="H156" s="271">
        <f t="shared" si="2"/>
        <v>0</v>
      </c>
    </row>
    <row r="157" spans="1:8" s="523" customFormat="1">
      <c r="A157" s="519">
        <v>153</v>
      </c>
      <c r="B157" s="519" t="s">
        <v>598</v>
      </c>
      <c r="C157" s="519" t="s">
        <v>764</v>
      </c>
      <c r="D157" s="520" t="s">
        <v>595</v>
      </c>
      <c r="E157" s="519">
        <v>0.5</v>
      </c>
      <c r="F157" s="521"/>
      <c r="G157" s="522"/>
      <c r="H157" s="271">
        <f t="shared" si="2"/>
        <v>0</v>
      </c>
    </row>
    <row r="158" spans="1:8" s="523" customFormat="1">
      <c r="A158" s="519">
        <v>154</v>
      </c>
      <c r="B158" s="519" t="s">
        <v>598</v>
      </c>
      <c r="C158" s="519" t="s">
        <v>765</v>
      </c>
      <c r="D158" s="520" t="s">
        <v>170</v>
      </c>
      <c r="E158" s="519">
        <v>0.1</v>
      </c>
      <c r="F158" s="521"/>
      <c r="G158" s="522"/>
      <c r="H158" s="271">
        <f t="shared" si="2"/>
        <v>0</v>
      </c>
    </row>
    <row r="159" spans="1:8" s="523" customFormat="1">
      <c r="A159" s="519">
        <v>155</v>
      </c>
      <c r="B159" s="519" t="s">
        <v>598</v>
      </c>
      <c r="C159" s="519" t="s">
        <v>766</v>
      </c>
      <c r="D159" s="520" t="s">
        <v>170</v>
      </c>
      <c r="E159" s="519">
        <v>0.19</v>
      </c>
      <c r="F159" s="521"/>
      <c r="G159" s="522"/>
      <c r="H159" s="271">
        <f t="shared" si="2"/>
        <v>0</v>
      </c>
    </row>
    <row r="160" spans="1:8" s="523" customFormat="1">
      <c r="A160" s="519">
        <v>156</v>
      </c>
      <c r="B160" s="519" t="s">
        <v>604</v>
      </c>
      <c r="C160" s="519" t="s">
        <v>767</v>
      </c>
      <c r="D160" s="520" t="s">
        <v>170</v>
      </c>
      <c r="E160" s="519">
        <v>1.2</v>
      </c>
      <c r="F160" s="521"/>
      <c r="G160" s="522"/>
      <c r="H160" s="271">
        <f t="shared" si="2"/>
        <v>0</v>
      </c>
    </row>
    <row r="161" spans="1:8" s="523" customFormat="1">
      <c r="A161" s="519">
        <v>157</v>
      </c>
      <c r="B161" s="519" t="s">
        <v>604</v>
      </c>
      <c r="C161" s="519" t="s">
        <v>768</v>
      </c>
      <c r="D161" s="520" t="s">
        <v>170</v>
      </c>
      <c r="E161" s="519">
        <v>3.5</v>
      </c>
      <c r="F161" s="521"/>
      <c r="G161" s="522"/>
      <c r="H161" s="271">
        <f t="shared" si="2"/>
        <v>0</v>
      </c>
    </row>
    <row r="162" spans="1:8" s="523" customFormat="1">
      <c r="A162" s="519">
        <v>158</v>
      </c>
      <c r="B162" s="519" t="s">
        <v>604</v>
      </c>
      <c r="C162" s="519" t="s">
        <v>769</v>
      </c>
      <c r="D162" s="520" t="s">
        <v>170</v>
      </c>
      <c r="E162" s="519">
        <v>0.5</v>
      </c>
      <c r="F162" s="521"/>
      <c r="G162" s="522"/>
      <c r="H162" s="271">
        <f t="shared" si="2"/>
        <v>0</v>
      </c>
    </row>
    <row r="163" spans="1:8" s="523" customFormat="1">
      <c r="A163" s="519">
        <v>159</v>
      </c>
      <c r="B163" s="519" t="s">
        <v>608</v>
      </c>
      <c r="C163" s="519" t="s">
        <v>770</v>
      </c>
      <c r="D163" s="520" t="s">
        <v>170</v>
      </c>
      <c r="E163" s="519">
        <v>0.35</v>
      </c>
      <c r="F163" s="521"/>
      <c r="G163" s="522"/>
      <c r="H163" s="271">
        <f t="shared" si="2"/>
        <v>0</v>
      </c>
    </row>
    <row r="164" spans="1:8" s="523" customFormat="1">
      <c r="A164" s="519">
        <v>160</v>
      </c>
      <c r="B164" s="519" t="s">
        <v>608</v>
      </c>
      <c r="C164" s="519" t="s">
        <v>771</v>
      </c>
      <c r="D164" s="520" t="s">
        <v>170</v>
      </c>
      <c r="E164" s="519">
        <v>0.3</v>
      </c>
      <c r="F164" s="521"/>
      <c r="G164" s="522"/>
      <c r="H164" s="271">
        <f t="shared" si="2"/>
        <v>0</v>
      </c>
    </row>
    <row r="165" spans="1:8" s="523" customFormat="1">
      <c r="A165" s="519">
        <v>161</v>
      </c>
      <c r="B165" s="519" t="s">
        <v>608</v>
      </c>
      <c r="C165" s="519" t="s">
        <v>772</v>
      </c>
      <c r="D165" s="520" t="s">
        <v>170</v>
      </c>
      <c r="E165" s="519">
        <v>0.3</v>
      </c>
      <c r="F165" s="521"/>
      <c r="G165" s="522"/>
      <c r="H165" s="271">
        <f t="shared" si="2"/>
        <v>0</v>
      </c>
    </row>
    <row r="166" spans="1:8" s="523" customFormat="1">
      <c r="A166" s="519">
        <v>162</v>
      </c>
      <c r="B166" s="519" t="s">
        <v>604</v>
      </c>
      <c r="C166" s="519" t="s">
        <v>773</v>
      </c>
      <c r="D166" s="520" t="s">
        <v>170</v>
      </c>
      <c r="E166" s="519">
        <v>0.5</v>
      </c>
      <c r="F166" s="521"/>
      <c r="G166" s="522"/>
      <c r="H166" s="271">
        <f t="shared" si="2"/>
        <v>0</v>
      </c>
    </row>
    <row r="167" spans="1:8" s="523" customFormat="1" ht="42">
      <c r="A167" s="519">
        <v>163</v>
      </c>
      <c r="B167" s="519" t="s">
        <v>591</v>
      </c>
      <c r="C167" s="524" t="s">
        <v>774</v>
      </c>
      <c r="D167" s="519" t="s">
        <v>170</v>
      </c>
      <c r="E167" s="519">
        <v>3</v>
      </c>
      <c r="F167" s="521"/>
      <c r="G167" s="522"/>
      <c r="H167" s="271">
        <f t="shared" si="2"/>
        <v>0</v>
      </c>
    </row>
    <row r="168" spans="1:8" s="523" customFormat="1">
      <c r="A168" s="519">
        <v>164</v>
      </c>
      <c r="B168" s="519" t="s">
        <v>604</v>
      </c>
      <c r="C168" s="519" t="s">
        <v>775</v>
      </c>
      <c r="D168" s="520" t="s">
        <v>170</v>
      </c>
      <c r="E168" s="519">
        <v>2.1</v>
      </c>
      <c r="F168" s="521"/>
      <c r="G168" s="522"/>
      <c r="H168" s="271">
        <f t="shared" si="2"/>
        <v>0</v>
      </c>
    </row>
    <row r="169" spans="1:8" s="523" customFormat="1">
      <c r="A169" s="519">
        <v>165</v>
      </c>
      <c r="B169" s="519" t="s">
        <v>593</v>
      </c>
      <c r="C169" s="519" t="s">
        <v>776</v>
      </c>
      <c r="D169" s="520" t="s">
        <v>595</v>
      </c>
      <c r="E169" s="519">
        <v>0.152</v>
      </c>
      <c r="F169" s="521"/>
      <c r="G169" s="522"/>
      <c r="H169" s="271">
        <f t="shared" si="2"/>
        <v>0</v>
      </c>
    </row>
    <row r="170" spans="1:8" s="523" customFormat="1">
      <c r="A170" s="519">
        <v>166</v>
      </c>
      <c r="B170" s="519" t="s">
        <v>593</v>
      </c>
      <c r="C170" s="519" t="s">
        <v>777</v>
      </c>
      <c r="D170" s="520" t="s">
        <v>595</v>
      </c>
      <c r="E170" s="519">
        <v>0.23499999999999999</v>
      </c>
      <c r="F170" s="521"/>
      <c r="G170" s="522"/>
      <c r="H170" s="271">
        <f t="shared" si="2"/>
        <v>0</v>
      </c>
    </row>
    <row r="171" spans="1:8" s="523" customFormat="1">
      <c r="A171" s="519">
        <v>167</v>
      </c>
      <c r="B171" s="519" t="s">
        <v>593</v>
      </c>
      <c r="C171" s="519" t="s">
        <v>778</v>
      </c>
      <c r="D171" s="520" t="s">
        <v>595</v>
      </c>
      <c r="E171" s="519">
        <v>0.55200000000000005</v>
      </c>
      <c r="F171" s="521"/>
      <c r="G171" s="522"/>
      <c r="H171" s="271">
        <f t="shared" si="2"/>
        <v>0</v>
      </c>
    </row>
    <row r="172" spans="1:8" s="523" customFormat="1">
      <c r="A172" s="519">
        <v>168</v>
      </c>
      <c r="B172" s="519" t="s">
        <v>604</v>
      </c>
      <c r="C172" s="519" t="s">
        <v>779</v>
      </c>
      <c r="D172" s="520" t="s">
        <v>170</v>
      </c>
      <c r="E172" s="519">
        <v>0.35</v>
      </c>
      <c r="F172" s="521"/>
      <c r="G172" s="522"/>
      <c r="H172" s="271">
        <f t="shared" si="2"/>
        <v>0</v>
      </c>
    </row>
    <row r="173" spans="1:8" s="523" customFormat="1">
      <c r="A173" s="519">
        <v>169</v>
      </c>
      <c r="B173" s="519" t="s">
        <v>608</v>
      </c>
      <c r="C173" s="519" t="s">
        <v>780</v>
      </c>
      <c r="D173" s="520" t="s">
        <v>170</v>
      </c>
      <c r="E173" s="519">
        <v>0.24</v>
      </c>
      <c r="F173" s="521"/>
      <c r="G173" s="522"/>
      <c r="H173" s="271">
        <f t="shared" si="2"/>
        <v>0</v>
      </c>
    </row>
    <row r="174" spans="1:8" s="523" customFormat="1">
      <c r="A174" s="519">
        <v>170</v>
      </c>
      <c r="B174" s="519" t="s">
        <v>604</v>
      </c>
      <c r="C174" s="519" t="s">
        <v>781</v>
      </c>
      <c r="D174" s="520" t="s">
        <v>170</v>
      </c>
      <c r="E174" s="519">
        <v>0.5</v>
      </c>
      <c r="F174" s="521"/>
      <c r="G174" s="522"/>
      <c r="H174" s="271">
        <f t="shared" si="2"/>
        <v>0</v>
      </c>
    </row>
    <row r="175" spans="1:8" s="523" customFormat="1">
      <c r="A175" s="519">
        <v>171</v>
      </c>
      <c r="B175" s="519" t="s">
        <v>608</v>
      </c>
      <c r="C175" s="519" t="s">
        <v>782</v>
      </c>
      <c r="D175" s="520" t="s">
        <v>170</v>
      </c>
      <c r="E175" s="519">
        <v>0.3</v>
      </c>
      <c r="F175" s="521"/>
      <c r="G175" s="522"/>
      <c r="H175" s="271">
        <f t="shared" si="2"/>
        <v>0</v>
      </c>
    </row>
    <row r="176" spans="1:8" s="523" customFormat="1">
      <c r="A176" s="519">
        <v>172</v>
      </c>
      <c r="B176" s="519" t="s">
        <v>598</v>
      </c>
      <c r="C176" s="519" t="s">
        <v>783</v>
      </c>
      <c r="D176" s="520" t="s">
        <v>595</v>
      </c>
      <c r="E176" s="519">
        <v>0.4</v>
      </c>
      <c r="F176" s="521"/>
      <c r="G176" s="522"/>
      <c r="H176" s="271">
        <f t="shared" si="2"/>
        <v>0</v>
      </c>
    </row>
    <row r="177" spans="1:8" s="523" customFormat="1">
      <c r="A177" s="519">
        <v>173</v>
      </c>
      <c r="B177" s="519" t="s">
        <v>593</v>
      </c>
      <c r="C177" s="519" t="s">
        <v>784</v>
      </c>
      <c r="D177" s="520" t="s">
        <v>595</v>
      </c>
      <c r="E177" s="519">
        <v>0.14599999999999999</v>
      </c>
      <c r="F177" s="521"/>
      <c r="G177" s="522"/>
      <c r="H177" s="271">
        <f t="shared" si="2"/>
        <v>0</v>
      </c>
    </row>
    <row r="178" spans="1:8" s="523" customFormat="1">
      <c r="A178" s="519">
        <v>174</v>
      </c>
      <c r="B178" s="519" t="s">
        <v>604</v>
      </c>
      <c r="C178" s="519" t="s">
        <v>785</v>
      </c>
      <c r="D178" s="520" t="s">
        <v>170</v>
      </c>
      <c r="E178" s="519">
        <v>0.2</v>
      </c>
      <c r="F178" s="521"/>
      <c r="G178" s="522"/>
      <c r="H178" s="271">
        <f t="shared" si="2"/>
        <v>0</v>
      </c>
    </row>
    <row r="179" spans="1:8" s="523" customFormat="1">
      <c r="A179" s="519">
        <v>175</v>
      </c>
      <c r="B179" s="519" t="s">
        <v>591</v>
      </c>
      <c r="C179" s="519" t="s">
        <v>786</v>
      </c>
      <c r="D179" s="519" t="s">
        <v>170</v>
      </c>
      <c r="E179" s="519">
        <v>30</v>
      </c>
      <c r="F179" s="521"/>
      <c r="G179" s="522"/>
      <c r="H179" s="271">
        <f t="shared" si="2"/>
        <v>0</v>
      </c>
    </row>
    <row r="180" spans="1:8" s="523" customFormat="1" ht="42">
      <c r="A180" s="519">
        <v>176</v>
      </c>
      <c r="B180" s="519" t="s">
        <v>591</v>
      </c>
      <c r="C180" s="524" t="s">
        <v>787</v>
      </c>
      <c r="D180" s="519" t="s">
        <v>170</v>
      </c>
      <c r="E180" s="519">
        <v>3</v>
      </c>
      <c r="F180" s="521"/>
      <c r="G180" s="522"/>
      <c r="H180" s="271">
        <f t="shared" si="2"/>
        <v>0</v>
      </c>
    </row>
    <row r="181" spans="1:8" s="523" customFormat="1">
      <c r="A181" s="519">
        <v>177</v>
      </c>
      <c r="B181" s="519" t="s">
        <v>604</v>
      </c>
      <c r="C181" s="519" t="s">
        <v>788</v>
      </c>
      <c r="D181" s="520" t="s">
        <v>170</v>
      </c>
      <c r="E181" s="519">
        <v>1.8</v>
      </c>
      <c r="F181" s="521"/>
      <c r="G181" s="522"/>
      <c r="H181" s="271">
        <f t="shared" si="2"/>
        <v>0</v>
      </c>
    </row>
    <row r="182" spans="1:8" s="523" customFormat="1">
      <c r="A182" s="519">
        <v>178</v>
      </c>
      <c r="B182" s="519" t="s">
        <v>608</v>
      </c>
      <c r="C182" s="519" t="s">
        <v>789</v>
      </c>
      <c r="D182" s="520" t="s">
        <v>170</v>
      </c>
      <c r="E182" s="519">
        <v>0.24</v>
      </c>
      <c r="F182" s="521"/>
      <c r="G182" s="522"/>
      <c r="H182" s="271">
        <f t="shared" si="2"/>
        <v>0</v>
      </c>
    </row>
    <row r="183" spans="1:8" s="523" customFormat="1">
      <c r="A183" s="519">
        <v>179</v>
      </c>
      <c r="B183" s="519" t="s">
        <v>608</v>
      </c>
      <c r="C183" s="519" t="s">
        <v>790</v>
      </c>
      <c r="D183" s="520" t="s">
        <v>170</v>
      </c>
      <c r="E183" s="519">
        <v>0.35</v>
      </c>
      <c r="F183" s="521"/>
      <c r="G183" s="522"/>
      <c r="H183" s="271">
        <f t="shared" si="2"/>
        <v>0</v>
      </c>
    </row>
    <row r="184" spans="1:8" s="523" customFormat="1">
      <c r="A184" s="519">
        <v>180</v>
      </c>
      <c r="B184" s="519" t="s">
        <v>604</v>
      </c>
      <c r="C184" s="519" t="s">
        <v>791</v>
      </c>
      <c r="D184" s="520" t="s">
        <v>170</v>
      </c>
      <c r="E184" s="519">
        <v>0.5</v>
      </c>
      <c r="F184" s="521"/>
      <c r="G184" s="522"/>
      <c r="H184" s="271">
        <f t="shared" si="2"/>
        <v>0</v>
      </c>
    </row>
    <row r="185" spans="1:8" s="523" customFormat="1">
      <c r="A185" s="519">
        <v>181</v>
      </c>
      <c r="B185" s="519" t="s">
        <v>608</v>
      </c>
      <c r="C185" s="519" t="s">
        <v>792</v>
      </c>
      <c r="D185" s="519" t="s">
        <v>170</v>
      </c>
      <c r="E185" s="519">
        <v>0.4</v>
      </c>
      <c r="F185" s="521"/>
      <c r="G185" s="522"/>
      <c r="H185" s="271">
        <f t="shared" si="2"/>
        <v>0</v>
      </c>
    </row>
    <row r="186" spans="1:8" s="523" customFormat="1">
      <c r="A186" s="519">
        <v>182</v>
      </c>
      <c r="B186" s="519" t="s">
        <v>604</v>
      </c>
      <c r="C186" s="519" t="s">
        <v>793</v>
      </c>
      <c r="D186" s="520" t="s">
        <v>170</v>
      </c>
      <c r="E186" s="519">
        <v>1.3</v>
      </c>
      <c r="F186" s="521"/>
      <c r="G186" s="522"/>
      <c r="H186" s="271">
        <f t="shared" si="2"/>
        <v>0</v>
      </c>
    </row>
    <row r="187" spans="1:8" s="523" customFormat="1">
      <c r="A187" s="519">
        <v>183</v>
      </c>
      <c r="B187" s="519" t="s">
        <v>604</v>
      </c>
      <c r="C187" s="519" t="s">
        <v>794</v>
      </c>
      <c r="D187" s="520" t="s">
        <v>170</v>
      </c>
      <c r="E187" s="519">
        <v>0.7</v>
      </c>
      <c r="F187" s="521"/>
      <c r="G187" s="522"/>
      <c r="H187" s="271">
        <f t="shared" si="2"/>
        <v>0</v>
      </c>
    </row>
    <row r="188" spans="1:8" s="523" customFormat="1">
      <c r="A188" s="519">
        <v>184</v>
      </c>
      <c r="B188" s="519" t="s">
        <v>604</v>
      </c>
      <c r="C188" s="519" t="s">
        <v>795</v>
      </c>
      <c r="D188" s="520" t="s">
        <v>170</v>
      </c>
      <c r="E188" s="519">
        <v>0.38</v>
      </c>
      <c r="F188" s="521"/>
      <c r="G188" s="522"/>
      <c r="H188" s="271">
        <f t="shared" si="2"/>
        <v>0</v>
      </c>
    </row>
    <row r="189" spans="1:8" s="523" customFormat="1">
      <c r="A189" s="519">
        <v>185</v>
      </c>
      <c r="B189" s="519" t="s">
        <v>604</v>
      </c>
      <c r="C189" s="519" t="s">
        <v>796</v>
      </c>
      <c r="D189" s="520" t="s">
        <v>170</v>
      </c>
      <c r="E189" s="519">
        <v>0.6</v>
      </c>
      <c r="F189" s="521"/>
      <c r="G189" s="522"/>
      <c r="H189" s="271">
        <f t="shared" si="2"/>
        <v>0</v>
      </c>
    </row>
    <row r="190" spans="1:8" s="523" customFormat="1">
      <c r="A190" s="519">
        <v>186</v>
      </c>
      <c r="B190" s="519" t="s">
        <v>608</v>
      </c>
      <c r="C190" s="519" t="s">
        <v>797</v>
      </c>
      <c r="D190" s="520" t="s">
        <v>170</v>
      </c>
      <c r="E190" s="519">
        <v>0.48</v>
      </c>
      <c r="F190" s="521"/>
      <c r="G190" s="522"/>
      <c r="H190" s="271">
        <f t="shared" si="2"/>
        <v>0</v>
      </c>
    </row>
    <row r="191" spans="1:8" s="523" customFormat="1">
      <c r="A191" s="519">
        <v>187</v>
      </c>
      <c r="B191" s="519" t="s">
        <v>608</v>
      </c>
      <c r="C191" s="519" t="s">
        <v>798</v>
      </c>
      <c r="D191" s="520" t="s">
        <v>170</v>
      </c>
      <c r="E191" s="519">
        <v>0.48</v>
      </c>
      <c r="F191" s="521"/>
      <c r="G191" s="522"/>
      <c r="H191" s="271">
        <f t="shared" si="2"/>
        <v>0</v>
      </c>
    </row>
    <row r="192" spans="1:8" s="523" customFormat="1">
      <c r="A192" s="519">
        <v>188</v>
      </c>
      <c r="B192" s="519" t="s">
        <v>608</v>
      </c>
      <c r="C192" s="519" t="s">
        <v>799</v>
      </c>
      <c r="D192" s="519" t="s">
        <v>170</v>
      </c>
      <c r="E192" s="519">
        <v>0.4</v>
      </c>
      <c r="F192" s="521"/>
      <c r="G192" s="522"/>
      <c r="H192" s="271">
        <f t="shared" si="2"/>
        <v>0</v>
      </c>
    </row>
    <row r="193" spans="1:8" s="523" customFormat="1">
      <c r="A193" s="519">
        <v>189</v>
      </c>
      <c r="B193" s="519" t="s">
        <v>602</v>
      </c>
      <c r="C193" s="519" t="s">
        <v>800</v>
      </c>
      <c r="D193" s="520" t="s">
        <v>170</v>
      </c>
      <c r="E193" s="519">
        <v>1.1000000000000001</v>
      </c>
      <c r="F193" s="521"/>
      <c r="G193" s="522"/>
      <c r="H193" s="271">
        <f t="shared" si="2"/>
        <v>0</v>
      </c>
    </row>
    <row r="194" spans="1:8" s="523" customFormat="1">
      <c r="A194" s="519">
        <v>190</v>
      </c>
      <c r="B194" s="519" t="s">
        <v>604</v>
      </c>
      <c r="C194" s="519" t="s">
        <v>801</v>
      </c>
      <c r="D194" s="520" t="s">
        <v>170</v>
      </c>
      <c r="E194" s="519">
        <v>0.4</v>
      </c>
      <c r="F194" s="521"/>
      <c r="G194" s="522"/>
      <c r="H194" s="271">
        <f t="shared" si="2"/>
        <v>0</v>
      </c>
    </row>
    <row r="195" spans="1:8" s="523" customFormat="1">
      <c r="A195" s="519">
        <v>191</v>
      </c>
      <c r="B195" s="519" t="s">
        <v>608</v>
      </c>
      <c r="C195" s="519" t="s">
        <v>802</v>
      </c>
      <c r="D195" s="520" t="s">
        <v>170</v>
      </c>
      <c r="E195" s="519">
        <v>0.48</v>
      </c>
      <c r="F195" s="521"/>
      <c r="G195" s="522"/>
      <c r="H195" s="271">
        <f t="shared" si="2"/>
        <v>0</v>
      </c>
    </row>
    <row r="196" spans="1:8" s="523" customFormat="1">
      <c r="A196" s="519">
        <v>192</v>
      </c>
      <c r="B196" s="519" t="s">
        <v>598</v>
      </c>
      <c r="C196" s="519" t="s">
        <v>803</v>
      </c>
      <c r="D196" s="520" t="s">
        <v>595</v>
      </c>
      <c r="E196" s="519">
        <v>0.3</v>
      </c>
      <c r="F196" s="521"/>
      <c r="G196" s="522"/>
      <c r="H196" s="271">
        <f t="shared" si="2"/>
        <v>0</v>
      </c>
    </row>
    <row r="197" spans="1:8" s="523" customFormat="1">
      <c r="A197" s="519">
        <v>193</v>
      </c>
      <c r="B197" s="519" t="s">
        <v>654</v>
      </c>
      <c r="C197" s="519" t="s">
        <v>804</v>
      </c>
      <c r="D197" s="520" t="s">
        <v>170</v>
      </c>
      <c r="E197" s="519">
        <v>0</v>
      </c>
      <c r="F197" s="521"/>
      <c r="G197" s="522"/>
      <c r="H197" s="271">
        <f t="shared" ref="H197:H260" si="3">+$H$2</f>
        <v>0</v>
      </c>
    </row>
    <row r="198" spans="1:8" s="523" customFormat="1">
      <c r="A198" s="519">
        <v>194</v>
      </c>
      <c r="B198" s="519" t="s">
        <v>654</v>
      </c>
      <c r="C198" s="519" t="s">
        <v>805</v>
      </c>
      <c r="D198" s="520" t="s">
        <v>806</v>
      </c>
      <c r="E198" s="519">
        <v>10</v>
      </c>
      <c r="F198" s="521"/>
      <c r="G198" s="522"/>
      <c r="H198" s="271">
        <f t="shared" si="3"/>
        <v>0</v>
      </c>
    </row>
    <row r="199" spans="1:8" s="523" customFormat="1">
      <c r="A199" s="519">
        <v>195</v>
      </c>
      <c r="B199" s="519" t="s">
        <v>654</v>
      </c>
      <c r="C199" s="519" t="s">
        <v>807</v>
      </c>
      <c r="D199" s="520" t="s">
        <v>806</v>
      </c>
      <c r="E199" s="519">
        <v>20</v>
      </c>
      <c r="F199" s="521"/>
      <c r="G199" s="522"/>
      <c r="H199" s="271">
        <f t="shared" si="3"/>
        <v>0</v>
      </c>
    </row>
    <row r="200" spans="1:8" s="523" customFormat="1">
      <c r="A200" s="519">
        <v>196</v>
      </c>
      <c r="B200" s="519" t="s">
        <v>654</v>
      </c>
      <c r="C200" s="519" t="s">
        <v>808</v>
      </c>
      <c r="D200" s="520" t="s">
        <v>806</v>
      </c>
      <c r="E200" s="519">
        <v>25</v>
      </c>
      <c r="F200" s="521"/>
      <c r="G200" s="522"/>
      <c r="H200" s="271">
        <f t="shared" si="3"/>
        <v>0</v>
      </c>
    </row>
    <row r="201" spans="1:8" s="523" customFormat="1">
      <c r="A201" s="519">
        <v>197</v>
      </c>
      <c r="B201" s="519" t="s">
        <v>654</v>
      </c>
      <c r="C201" s="519" t="s">
        <v>809</v>
      </c>
      <c r="D201" s="520" t="s">
        <v>170</v>
      </c>
      <c r="E201" s="519">
        <v>0</v>
      </c>
      <c r="F201" s="521"/>
      <c r="G201" s="522"/>
      <c r="H201" s="271">
        <f t="shared" si="3"/>
        <v>0</v>
      </c>
    </row>
    <row r="202" spans="1:8" s="523" customFormat="1">
      <c r="A202" s="519">
        <v>198</v>
      </c>
      <c r="B202" s="519" t="s">
        <v>654</v>
      </c>
      <c r="C202" s="519" t="s">
        <v>810</v>
      </c>
      <c r="D202" s="520" t="s">
        <v>170</v>
      </c>
      <c r="E202" s="519">
        <v>15</v>
      </c>
      <c r="F202" s="521"/>
      <c r="G202" s="522"/>
      <c r="H202" s="271">
        <f t="shared" si="3"/>
        <v>0</v>
      </c>
    </row>
    <row r="203" spans="1:8" s="523" customFormat="1">
      <c r="A203" s="519">
        <v>199</v>
      </c>
      <c r="B203" s="519" t="s">
        <v>654</v>
      </c>
      <c r="C203" s="519" t="s">
        <v>811</v>
      </c>
      <c r="D203" s="520" t="s">
        <v>170</v>
      </c>
      <c r="E203" s="519">
        <v>20</v>
      </c>
      <c r="F203" s="521"/>
      <c r="G203" s="522"/>
      <c r="H203" s="271">
        <f t="shared" si="3"/>
        <v>0</v>
      </c>
    </row>
    <row r="204" spans="1:8" s="523" customFormat="1">
      <c r="A204" s="519">
        <v>200</v>
      </c>
      <c r="B204" s="519" t="s">
        <v>692</v>
      </c>
      <c r="C204" s="519" t="s">
        <v>812</v>
      </c>
      <c r="D204" s="520" t="s">
        <v>707</v>
      </c>
      <c r="E204" s="519">
        <v>1.5</v>
      </c>
      <c r="F204" s="521"/>
      <c r="G204" s="522"/>
      <c r="H204" s="271">
        <f t="shared" si="3"/>
        <v>0</v>
      </c>
    </row>
    <row r="205" spans="1:8" s="523" customFormat="1">
      <c r="A205" s="519">
        <v>201</v>
      </c>
      <c r="B205" s="519" t="s">
        <v>692</v>
      </c>
      <c r="C205" s="519" t="s">
        <v>813</v>
      </c>
      <c r="D205" s="520" t="s">
        <v>707</v>
      </c>
      <c r="E205" s="519">
        <v>3</v>
      </c>
      <c r="F205" s="521"/>
      <c r="G205" s="522"/>
      <c r="H205" s="271">
        <f t="shared" si="3"/>
        <v>0</v>
      </c>
    </row>
    <row r="206" spans="1:8" s="523" customFormat="1">
      <c r="A206" s="519">
        <v>202</v>
      </c>
      <c r="B206" s="519" t="s">
        <v>692</v>
      </c>
      <c r="C206" s="519" t="s">
        <v>708</v>
      </c>
      <c r="D206" s="520" t="s">
        <v>814</v>
      </c>
      <c r="E206" s="519">
        <v>4</v>
      </c>
      <c r="F206" s="521"/>
      <c r="G206" s="522"/>
      <c r="H206" s="271">
        <f t="shared" si="3"/>
        <v>0</v>
      </c>
    </row>
    <row r="207" spans="1:8" s="523" customFormat="1">
      <c r="A207" s="519">
        <v>203</v>
      </c>
      <c r="B207" s="519" t="s">
        <v>692</v>
      </c>
      <c r="C207" s="519" t="s">
        <v>815</v>
      </c>
      <c r="D207" s="520" t="s">
        <v>707</v>
      </c>
      <c r="E207" s="519">
        <v>0.6</v>
      </c>
      <c r="F207" s="521"/>
      <c r="G207" s="522"/>
      <c r="H207" s="271">
        <f t="shared" si="3"/>
        <v>0</v>
      </c>
    </row>
    <row r="208" spans="1:8" s="523" customFormat="1">
      <c r="A208" s="519">
        <v>204</v>
      </c>
      <c r="B208" s="519" t="s">
        <v>692</v>
      </c>
      <c r="C208" s="519" t="s">
        <v>816</v>
      </c>
      <c r="D208" s="520" t="s">
        <v>707</v>
      </c>
      <c r="E208" s="519">
        <f>38/500</f>
        <v>7.5999999999999998E-2</v>
      </c>
      <c r="F208" s="521"/>
      <c r="G208" s="522"/>
      <c r="H208" s="271">
        <f t="shared" si="3"/>
        <v>0</v>
      </c>
    </row>
    <row r="209" spans="1:8" s="523" customFormat="1">
      <c r="A209" s="519">
        <v>205</v>
      </c>
      <c r="B209" s="519" t="s">
        <v>692</v>
      </c>
      <c r="C209" s="519" t="s">
        <v>817</v>
      </c>
      <c r="D209" s="520" t="s">
        <v>707</v>
      </c>
      <c r="E209" s="519">
        <v>10.44</v>
      </c>
      <c r="F209" s="521"/>
      <c r="G209" s="522"/>
      <c r="H209" s="271">
        <f t="shared" si="3"/>
        <v>0</v>
      </c>
    </row>
    <row r="210" spans="1:8" s="523" customFormat="1">
      <c r="A210" s="519">
        <v>206</v>
      </c>
      <c r="B210" s="519" t="s">
        <v>692</v>
      </c>
      <c r="C210" s="519" t="s">
        <v>818</v>
      </c>
      <c r="D210" s="520" t="s">
        <v>707</v>
      </c>
      <c r="E210" s="519">
        <v>21.56</v>
      </c>
      <c r="F210" s="521"/>
      <c r="G210" s="522"/>
      <c r="H210" s="271">
        <f t="shared" si="3"/>
        <v>0</v>
      </c>
    </row>
    <row r="211" spans="1:8" s="523" customFormat="1">
      <c r="A211" s="519">
        <v>207</v>
      </c>
      <c r="B211" s="519" t="s">
        <v>692</v>
      </c>
      <c r="C211" s="519" t="s">
        <v>819</v>
      </c>
      <c r="D211" s="520" t="s">
        <v>707</v>
      </c>
      <c r="E211" s="519">
        <v>17.16</v>
      </c>
      <c r="F211" s="521"/>
      <c r="G211" s="522"/>
      <c r="H211" s="271">
        <f t="shared" si="3"/>
        <v>0</v>
      </c>
    </row>
    <row r="212" spans="1:8" s="523" customFormat="1">
      <c r="A212" s="519">
        <v>208</v>
      </c>
      <c r="B212" s="519" t="s">
        <v>692</v>
      </c>
      <c r="C212" s="519" t="s">
        <v>820</v>
      </c>
      <c r="D212" s="520" t="s">
        <v>707</v>
      </c>
      <c r="E212" s="519">
        <v>38.6</v>
      </c>
      <c r="F212" s="521"/>
      <c r="G212" s="522"/>
      <c r="H212" s="271">
        <f t="shared" si="3"/>
        <v>0</v>
      </c>
    </row>
    <row r="213" spans="1:8" s="523" customFormat="1" ht="28">
      <c r="A213" s="519">
        <v>209</v>
      </c>
      <c r="B213" s="519" t="s">
        <v>692</v>
      </c>
      <c r="C213" s="524" t="s">
        <v>821</v>
      </c>
      <c r="D213" s="520" t="s">
        <v>697</v>
      </c>
      <c r="E213" s="527">
        <v>2600</v>
      </c>
      <c r="F213" s="521"/>
      <c r="G213" s="522"/>
      <c r="H213" s="271">
        <f t="shared" si="3"/>
        <v>0</v>
      </c>
    </row>
    <row r="214" spans="1:8" s="523" customFormat="1">
      <c r="A214" s="519">
        <v>210</v>
      </c>
      <c r="B214" s="519" t="s">
        <v>692</v>
      </c>
      <c r="C214" s="519" t="s">
        <v>822</v>
      </c>
      <c r="D214" s="520" t="s">
        <v>697</v>
      </c>
      <c r="E214" s="519">
        <v>2400</v>
      </c>
      <c r="F214" s="521"/>
      <c r="G214" s="522"/>
      <c r="H214" s="271">
        <f t="shared" si="3"/>
        <v>0</v>
      </c>
    </row>
    <row r="215" spans="1:8" s="523" customFormat="1" ht="56">
      <c r="A215" s="519">
        <v>211</v>
      </c>
      <c r="B215" s="519" t="s">
        <v>692</v>
      </c>
      <c r="C215" s="524" t="s">
        <v>823</v>
      </c>
      <c r="D215" s="528" t="s">
        <v>824</v>
      </c>
      <c r="E215" s="519">
        <v>25</v>
      </c>
      <c r="F215" s="522"/>
      <c r="G215" s="522"/>
      <c r="H215" s="271">
        <f t="shared" si="3"/>
        <v>0</v>
      </c>
    </row>
    <row r="216" spans="1:8" s="523" customFormat="1">
      <c r="A216" s="519">
        <v>212</v>
      </c>
      <c r="B216" s="519" t="s">
        <v>593</v>
      </c>
      <c r="C216" s="519" t="s">
        <v>825</v>
      </c>
      <c r="D216" s="519" t="s">
        <v>595</v>
      </c>
      <c r="E216" s="519">
        <v>0.12</v>
      </c>
      <c r="F216" s="522"/>
      <c r="G216" s="522"/>
      <c r="H216" s="271">
        <f t="shared" si="3"/>
        <v>0</v>
      </c>
    </row>
    <row r="217" spans="1:8" s="523" customFormat="1">
      <c r="A217" s="519">
        <v>224</v>
      </c>
      <c r="B217" s="519" t="s">
        <v>608</v>
      </c>
      <c r="C217" s="519" t="s">
        <v>826</v>
      </c>
      <c r="D217" s="520" t="s">
        <v>170</v>
      </c>
      <c r="E217" s="519">
        <v>0.24</v>
      </c>
      <c r="F217" s="522"/>
      <c r="G217" s="522"/>
      <c r="H217" s="271">
        <f t="shared" si="3"/>
        <v>0</v>
      </c>
    </row>
    <row r="218" spans="1:8" s="523" customFormat="1">
      <c r="A218" s="519">
        <v>225</v>
      </c>
      <c r="B218" s="519" t="s">
        <v>608</v>
      </c>
      <c r="C218" s="519" t="s">
        <v>827</v>
      </c>
      <c r="D218" s="520" t="s">
        <v>170</v>
      </c>
      <c r="E218" s="519">
        <v>0.15</v>
      </c>
      <c r="F218" s="522"/>
      <c r="G218" s="522"/>
      <c r="H218" s="271">
        <f t="shared" si="3"/>
        <v>0</v>
      </c>
    </row>
    <row r="219" spans="1:8" s="523" customFormat="1">
      <c r="A219" s="519">
        <v>226</v>
      </c>
      <c r="B219" s="519" t="s">
        <v>608</v>
      </c>
      <c r="C219" s="524" t="s">
        <v>828</v>
      </c>
      <c r="D219" s="520" t="s">
        <v>170</v>
      </c>
      <c r="E219" s="519">
        <v>0.2</v>
      </c>
      <c r="F219" s="522"/>
      <c r="G219" s="522"/>
      <c r="H219" s="271">
        <f t="shared" si="3"/>
        <v>0</v>
      </c>
    </row>
    <row r="220" spans="1:8" s="523" customFormat="1">
      <c r="A220" s="519">
        <v>227</v>
      </c>
      <c r="B220" s="519" t="s">
        <v>608</v>
      </c>
      <c r="C220" s="519" t="s">
        <v>829</v>
      </c>
      <c r="D220" s="520" t="s">
        <v>170</v>
      </c>
      <c r="E220" s="519">
        <v>0.1</v>
      </c>
      <c r="F220" s="522"/>
      <c r="G220" s="522"/>
      <c r="H220" s="271">
        <f t="shared" si="3"/>
        <v>0</v>
      </c>
    </row>
    <row r="221" spans="1:8" s="523" customFormat="1">
      <c r="A221" s="519">
        <v>228</v>
      </c>
      <c r="B221" s="519" t="s">
        <v>608</v>
      </c>
      <c r="C221" s="519" t="s">
        <v>830</v>
      </c>
      <c r="D221" s="520" t="s">
        <v>170</v>
      </c>
      <c r="E221" s="519">
        <v>0.15</v>
      </c>
      <c r="F221" s="522"/>
      <c r="G221" s="522"/>
      <c r="H221" s="271">
        <f t="shared" si="3"/>
        <v>0</v>
      </c>
    </row>
    <row r="222" spans="1:8" s="523" customFormat="1">
      <c r="A222" s="519">
        <v>229</v>
      </c>
      <c r="B222" s="519" t="s">
        <v>608</v>
      </c>
      <c r="C222" s="519" t="s">
        <v>831</v>
      </c>
      <c r="D222" s="520" t="s">
        <v>170</v>
      </c>
      <c r="E222" s="519">
        <v>0.15</v>
      </c>
      <c r="F222" s="522"/>
      <c r="G222" s="522"/>
      <c r="H222" s="271">
        <f t="shared" si="3"/>
        <v>0</v>
      </c>
    </row>
    <row r="223" spans="1:8" s="523" customFormat="1">
      <c r="A223" s="519">
        <v>230</v>
      </c>
      <c r="B223" s="519" t="s">
        <v>654</v>
      </c>
      <c r="C223" s="519" t="s">
        <v>832</v>
      </c>
      <c r="D223" s="519" t="s">
        <v>170</v>
      </c>
      <c r="E223" s="519">
        <v>1</v>
      </c>
      <c r="F223" s="521"/>
      <c r="G223" s="522"/>
      <c r="H223" s="271">
        <f t="shared" si="3"/>
        <v>0</v>
      </c>
    </row>
    <row r="224" spans="1:8" s="523" customFormat="1">
      <c r="A224" s="519">
        <v>231</v>
      </c>
      <c r="B224" s="519" t="s">
        <v>654</v>
      </c>
      <c r="C224" s="519" t="s">
        <v>833</v>
      </c>
      <c r="D224" s="520" t="s">
        <v>170</v>
      </c>
      <c r="E224" s="519">
        <v>1</v>
      </c>
      <c r="F224" s="521"/>
      <c r="G224" s="522"/>
      <c r="H224" s="271">
        <f t="shared" si="3"/>
        <v>0</v>
      </c>
    </row>
    <row r="225" spans="1:8" s="523" customFormat="1">
      <c r="A225" s="519">
        <v>232</v>
      </c>
      <c r="B225" s="519" t="s">
        <v>654</v>
      </c>
      <c r="C225" s="519" t="s">
        <v>834</v>
      </c>
      <c r="D225" s="520" t="s">
        <v>170</v>
      </c>
      <c r="E225" s="519">
        <v>0.5</v>
      </c>
      <c r="F225" s="521"/>
      <c r="G225" s="522"/>
      <c r="H225" s="271">
        <f t="shared" si="3"/>
        <v>0</v>
      </c>
    </row>
    <row r="226" spans="1:8" s="523" customFormat="1">
      <c r="A226" s="519">
        <v>233</v>
      </c>
      <c r="B226" s="519" t="s">
        <v>591</v>
      </c>
      <c r="C226" s="519" t="s">
        <v>835</v>
      </c>
      <c r="D226" s="519" t="s">
        <v>170</v>
      </c>
      <c r="E226" s="519">
        <v>28.9</v>
      </c>
      <c r="F226" s="521"/>
      <c r="G226" s="522"/>
      <c r="H226" s="271">
        <f t="shared" si="3"/>
        <v>0</v>
      </c>
    </row>
    <row r="227" spans="1:8" s="523" customFormat="1">
      <c r="A227" s="519">
        <v>234</v>
      </c>
      <c r="B227" s="519" t="s">
        <v>593</v>
      </c>
      <c r="C227" s="519" t="s">
        <v>836</v>
      </c>
      <c r="D227" s="520" t="s">
        <v>595</v>
      </c>
      <c r="E227" s="519">
        <v>6.5199999999999994E-2</v>
      </c>
      <c r="F227" s="521"/>
      <c r="G227" s="522"/>
      <c r="H227" s="271">
        <f t="shared" si="3"/>
        <v>0</v>
      </c>
    </row>
    <row r="228" spans="1:8" s="523" customFormat="1">
      <c r="A228" s="519">
        <v>235</v>
      </c>
      <c r="B228" s="519" t="s">
        <v>608</v>
      </c>
      <c r="C228" s="519" t="s">
        <v>837</v>
      </c>
      <c r="D228" s="519" t="s">
        <v>170</v>
      </c>
      <c r="E228" s="519">
        <v>0.2</v>
      </c>
      <c r="F228" s="521"/>
      <c r="G228" s="522"/>
      <c r="H228" s="271">
        <f t="shared" si="3"/>
        <v>0</v>
      </c>
    </row>
    <row r="229" spans="1:8" s="523" customFormat="1">
      <c r="A229" s="519">
        <v>236</v>
      </c>
      <c r="B229" s="519" t="s">
        <v>611</v>
      </c>
      <c r="C229" s="519" t="s">
        <v>838</v>
      </c>
      <c r="D229" s="520" t="s">
        <v>170</v>
      </c>
      <c r="E229" s="519">
        <v>0.24</v>
      </c>
      <c r="F229" s="521"/>
      <c r="G229" s="522"/>
      <c r="H229" s="271">
        <f t="shared" si="3"/>
        <v>0</v>
      </c>
    </row>
    <row r="230" spans="1:8" s="523" customFormat="1">
      <c r="A230" s="519">
        <v>237</v>
      </c>
      <c r="B230" s="519" t="s">
        <v>593</v>
      </c>
      <c r="C230" s="519" t="s">
        <v>839</v>
      </c>
      <c r="D230" s="520" t="s">
        <v>595</v>
      </c>
      <c r="E230" s="519">
        <v>0.23499999999999999</v>
      </c>
      <c r="F230" s="521"/>
      <c r="G230" s="522"/>
      <c r="H230" s="271">
        <f t="shared" si="3"/>
        <v>0</v>
      </c>
    </row>
    <row r="231" spans="1:8" s="523" customFormat="1">
      <c r="A231" s="519">
        <v>238</v>
      </c>
      <c r="B231" s="519" t="s">
        <v>593</v>
      </c>
      <c r="C231" s="519" t="s">
        <v>840</v>
      </c>
      <c r="D231" s="520" t="s">
        <v>595</v>
      </c>
      <c r="E231" s="519">
        <v>0.35</v>
      </c>
      <c r="F231" s="521"/>
      <c r="G231" s="522"/>
      <c r="H231" s="271">
        <f t="shared" si="3"/>
        <v>0</v>
      </c>
    </row>
    <row r="232" spans="1:8" s="523" customFormat="1">
      <c r="A232" s="519">
        <v>239</v>
      </c>
      <c r="B232" s="519" t="s">
        <v>593</v>
      </c>
      <c r="C232" s="519" t="s">
        <v>841</v>
      </c>
      <c r="D232" s="520" t="s">
        <v>595</v>
      </c>
      <c r="E232" s="519">
        <v>0.54800000000000004</v>
      </c>
      <c r="F232" s="521"/>
      <c r="G232" s="522"/>
      <c r="H232" s="271">
        <f t="shared" si="3"/>
        <v>0</v>
      </c>
    </row>
    <row r="233" spans="1:8" s="523" customFormat="1">
      <c r="A233" s="519">
        <v>240</v>
      </c>
      <c r="B233" s="519" t="s">
        <v>593</v>
      </c>
      <c r="C233" s="519" t="s">
        <v>842</v>
      </c>
      <c r="D233" s="520" t="s">
        <v>595</v>
      </c>
      <c r="E233" s="519">
        <v>0.67800000000000005</v>
      </c>
      <c r="F233" s="521"/>
      <c r="G233" s="522"/>
      <c r="H233" s="271">
        <f t="shared" si="3"/>
        <v>0</v>
      </c>
    </row>
    <row r="234" spans="1:8" s="523" customFormat="1">
      <c r="A234" s="519">
        <v>241</v>
      </c>
      <c r="B234" s="519" t="s">
        <v>593</v>
      </c>
      <c r="C234" s="519" t="s">
        <v>843</v>
      </c>
      <c r="D234" s="520" t="s">
        <v>595</v>
      </c>
      <c r="E234" s="519">
        <v>0.16800000000000001</v>
      </c>
      <c r="F234" s="521"/>
      <c r="G234" s="522"/>
      <c r="H234" s="271">
        <f t="shared" si="3"/>
        <v>0</v>
      </c>
    </row>
    <row r="235" spans="1:8" s="523" customFormat="1">
      <c r="A235" s="519">
        <v>242</v>
      </c>
      <c r="B235" s="519" t="s">
        <v>608</v>
      </c>
      <c r="C235" s="519" t="s">
        <v>844</v>
      </c>
      <c r="D235" s="519" t="s">
        <v>170</v>
      </c>
      <c r="E235" s="519">
        <v>0.2</v>
      </c>
      <c r="F235" s="521"/>
      <c r="G235" s="522"/>
      <c r="H235" s="271">
        <f t="shared" si="3"/>
        <v>0</v>
      </c>
    </row>
    <row r="236" spans="1:8" s="523" customFormat="1">
      <c r="A236" s="519">
        <v>243</v>
      </c>
      <c r="B236" s="519" t="s">
        <v>611</v>
      </c>
      <c r="C236" s="519" t="s">
        <v>845</v>
      </c>
      <c r="D236" s="520" t="s">
        <v>170</v>
      </c>
      <c r="E236" s="519">
        <v>0.24</v>
      </c>
      <c r="F236" s="521"/>
      <c r="G236" s="522"/>
      <c r="H236" s="271">
        <f t="shared" si="3"/>
        <v>0</v>
      </c>
    </row>
    <row r="237" spans="1:8" s="523" customFormat="1">
      <c r="A237" s="519">
        <v>244</v>
      </c>
      <c r="B237" s="519" t="s">
        <v>593</v>
      </c>
      <c r="C237" s="519" t="s">
        <v>846</v>
      </c>
      <c r="D237" s="519" t="s">
        <v>595</v>
      </c>
      <c r="E237" s="519">
        <v>0.30499999999999999</v>
      </c>
      <c r="F237" s="521"/>
      <c r="G237" s="522"/>
      <c r="H237" s="271">
        <f t="shared" si="3"/>
        <v>0</v>
      </c>
    </row>
    <row r="238" spans="1:8" s="523" customFormat="1">
      <c r="A238" s="519">
        <v>245</v>
      </c>
      <c r="B238" s="519" t="s">
        <v>638</v>
      </c>
      <c r="C238" s="519" t="s">
        <v>847</v>
      </c>
      <c r="D238" s="520" t="s">
        <v>848</v>
      </c>
      <c r="E238" s="519">
        <v>50</v>
      </c>
      <c r="F238" s="521"/>
      <c r="G238" s="522"/>
      <c r="H238" s="271">
        <f t="shared" si="3"/>
        <v>0</v>
      </c>
    </row>
    <row r="239" spans="1:8" s="523" customFormat="1">
      <c r="A239" s="519">
        <v>246</v>
      </c>
      <c r="B239" s="519" t="s">
        <v>593</v>
      </c>
      <c r="C239" s="519" t="s">
        <v>849</v>
      </c>
      <c r="D239" s="520" t="s">
        <v>595</v>
      </c>
      <c r="E239" s="519">
        <v>9.6000000000000002E-2</v>
      </c>
      <c r="F239" s="521"/>
      <c r="G239" s="522"/>
      <c r="H239" s="271">
        <f t="shared" si="3"/>
        <v>0</v>
      </c>
    </row>
    <row r="240" spans="1:8" s="523" customFormat="1">
      <c r="A240" s="519">
        <v>247</v>
      </c>
      <c r="B240" s="519" t="s">
        <v>604</v>
      </c>
      <c r="C240" s="519" t="s">
        <v>850</v>
      </c>
      <c r="D240" s="520" t="s">
        <v>170</v>
      </c>
      <c r="E240" s="519">
        <v>1.5</v>
      </c>
      <c r="F240" s="521"/>
      <c r="G240" s="522"/>
      <c r="H240" s="271">
        <f t="shared" si="3"/>
        <v>0</v>
      </c>
    </row>
    <row r="241" spans="1:8" s="523" customFormat="1">
      <c r="A241" s="519">
        <v>248</v>
      </c>
      <c r="B241" s="519" t="s">
        <v>608</v>
      </c>
      <c r="C241" s="519" t="s">
        <v>851</v>
      </c>
      <c r="D241" s="519" t="s">
        <v>170</v>
      </c>
      <c r="E241" s="519">
        <v>0.4</v>
      </c>
      <c r="F241" s="521"/>
      <c r="G241" s="522"/>
      <c r="H241" s="271">
        <f t="shared" si="3"/>
        <v>0</v>
      </c>
    </row>
    <row r="242" spans="1:8" s="523" customFormat="1">
      <c r="A242" s="519">
        <v>249</v>
      </c>
      <c r="B242" s="519" t="s">
        <v>593</v>
      </c>
      <c r="C242" s="519" t="s">
        <v>852</v>
      </c>
      <c r="D242" s="520" t="s">
        <v>595</v>
      </c>
      <c r="E242" s="519">
        <v>1.2350000000000001</v>
      </c>
      <c r="F242" s="521"/>
      <c r="G242" s="522"/>
      <c r="H242" s="271">
        <f t="shared" si="3"/>
        <v>0</v>
      </c>
    </row>
    <row r="243" spans="1:8" s="523" customFormat="1">
      <c r="A243" s="519">
        <v>250</v>
      </c>
      <c r="B243" s="519" t="s">
        <v>604</v>
      </c>
      <c r="C243" s="519" t="s">
        <v>853</v>
      </c>
      <c r="D243" s="520" t="s">
        <v>170</v>
      </c>
      <c r="E243" s="519">
        <v>3.2</v>
      </c>
      <c r="F243" s="521"/>
      <c r="G243" s="522"/>
      <c r="H243" s="271">
        <f t="shared" si="3"/>
        <v>0</v>
      </c>
    </row>
    <row r="244" spans="1:8" s="523" customFormat="1">
      <c r="A244" s="519">
        <v>251</v>
      </c>
      <c r="B244" s="519" t="s">
        <v>608</v>
      </c>
      <c r="C244" s="519" t="s">
        <v>854</v>
      </c>
      <c r="D244" s="519" t="s">
        <v>170</v>
      </c>
      <c r="E244" s="519">
        <v>1.5</v>
      </c>
      <c r="F244" s="521"/>
      <c r="G244" s="522"/>
      <c r="H244" s="271">
        <f t="shared" si="3"/>
        <v>0</v>
      </c>
    </row>
    <row r="245" spans="1:8" s="523" customFormat="1">
      <c r="A245" s="519">
        <v>252</v>
      </c>
      <c r="B245" s="519" t="s">
        <v>593</v>
      </c>
      <c r="C245" s="519" t="s">
        <v>855</v>
      </c>
      <c r="D245" s="520" t="s">
        <v>595</v>
      </c>
      <c r="E245" s="519">
        <v>1.7</v>
      </c>
      <c r="F245" s="521"/>
      <c r="G245" s="522"/>
      <c r="H245" s="271">
        <f t="shared" si="3"/>
        <v>0</v>
      </c>
    </row>
    <row r="246" spans="1:8" s="523" customFormat="1">
      <c r="A246" s="519">
        <v>253</v>
      </c>
      <c r="B246" s="519" t="s">
        <v>591</v>
      </c>
      <c r="C246" s="519" t="s">
        <v>856</v>
      </c>
      <c r="D246" s="520" t="s">
        <v>170</v>
      </c>
      <c r="E246" s="519">
        <v>162</v>
      </c>
      <c r="F246" s="521"/>
      <c r="G246" s="522"/>
      <c r="H246" s="271">
        <f t="shared" si="3"/>
        <v>0</v>
      </c>
    </row>
    <row r="247" spans="1:8" s="523" customFormat="1">
      <c r="A247" s="519">
        <v>254</v>
      </c>
      <c r="B247" s="519" t="s">
        <v>608</v>
      </c>
      <c r="C247" s="519" t="s">
        <v>857</v>
      </c>
      <c r="D247" s="520" t="s">
        <v>170</v>
      </c>
      <c r="E247" s="519">
        <v>0.45</v>
      </c>
      <c r="F247" s="521"/>
      <c r="G247" s="522"/>
      <c r="H247" s="271">
        <f t="shared" si="3"/>
        <v>0</v>
      </c>
    </row>
    <row r="248" spans="1:8" s="523" customFormat="1">
      <c r="A248" s="519">
        <v>255</v>
      </c>
      <c r="B248" s="519" t="s">
        <v>608</v>
      </c>
      <c r="C248" s="519" t="s">
        <v>858</v>
      </c>
      <c r="D248" s="520" t="s">
        <v>170</v>
      </c>
      <c r="E248" s="519">
        <v>0.45</v>
      </c>
      <c r="F248" s="521"/>
      <c r="G248" s="522"/>
      <c r="H248" s="271">
        <f t="shared" si="3"/>
        <v>0</v>
      </c>
    </row>
    <row r="249" spans="1:8" s="523" customFormat="1">
      <c r="A249" s="519">
        <v>256</v>
      </c>
      <c r="B249" s="519" t="s">
        <v>611</v>
      </c>
      <c r="C249" s="519" t="s">
        <v>859</v>
      </c>
      <c r="D249" s="520" t="s">
        <v>170</v>
      </c>
      <c r="E249" s="519">
        <v>0.24</v>
      </c>
      <c r="F249" s="521"/>
      <c r="G249" s="522"/>
      <c r="H249" s="271">
        <f t="shared" si="3"/>
        <v>0</v>
      </c>
    </row>
    <row r="250" spans="1:8" s="523" customFormat="1">
      <c r="A250" s="519">
        <v>257</v>
      </c>
      <c r="B250" s="519"/>
      <c r="C250" s="524" t="s">
        <v>860</v>
      </c>
      <c r="D250" s="520" t="s">
        <v>170</v>
      </c>
      <c r="E250" s="519"/>
      <c r="F250" s="521"/>
      <c r="G250" s="522"/>
      <c r="H250" s="271">
        <f t="shared" si="3"/>
        <v>0</v>
      </c>
    </row>
    <row r="251" spans="1:8" s="523" customFormat="1">
      <c r="A251" s="519">
        <v>258</v>
      </c>
      <c r="B251" s="519"/>
      <c r="C251" s="524" t="s">
        <v>861</v>
      </c>
      <c r="D251" s="520" t="s">
        <v>170</v>
      </c>
      <c r="E251" s="519"/>
      <c r="F251" s="521"/>
      <c r="G251" s="522"/>
      <c r="H251" s="271">
        <f t="shared" si="3"/>
        <v>0</v>
      </c>
    </row>
    <row r="252" spans="1:8" s="523" customFormat="1">
      <c r="A252" s="519">
        <v>259</v>
      </c>
      <c r="B252" s="519"/>
      <c r="C252" s="524" t="s">
        <v>862</v>
      </c>
      <c r="D252" s="520" t="s">
        <v>170</v>
      </c>
      <c r="E252" s="519"/>
      <c r="F252" s="521"/>
      <c r="G252" s="522"/>
      <c r="H252" s="271">
        <f t="shared" si="3"/>
        <v>0</v>
      </c>
    </row>
    <row r="253" spans="1:8" s="523" customFormat="1">
      <c r="A253" s="519">
        <v>260</v>
      </c>
      <c r="B253" s="519"/>
      <c r="C253" s="524" t="s">
        <v>863</v>
      </c>
      <c r="D253" s="520" t="s">
        <v>170</v>
      </c>
      <c r="E253" s="519"/>
      <c r="F253" s="521"/>
      <c r="G253" s="522"/>
      <c r="H253" s="271">
        <f t="shared" si="3"/>
        <v>0</v>
      </c>
    </row>
    <row r="254" spans="1:8" s="523" customFormat="1">
      <c r="A254" s="519">
        <v>261</v>
      </c>
      <c r="B254" s="519"/>
      <c r="C254" s="524" t="s">
        <v>864</v>
      </c>
      <c r="D254" s="520" t="s">
        <v>170</v>
      </c>
      <c r="E254" s="519"/>
      <c r="F254" s="521"/>
      <c r="G254" s="522"/>
      <c r="H254" s="271">
        <f t="shared" si="3"/>
        <v>0</v>
      </c>
    </row>
    <row r="255" spans="1:8" s="523" customFormat="1">
      <c r="A255" s="519">
        <v>262</v>
      </c>
      <c r="B255" s="519"/>
      <c r="C255" s="524" t="s">
        <v>865</v>
      </c>
      <c r="D255" s="520" t="s">
        <v>170</v>
      </c>
      <c r="E255" s="519"/>
      <c r="F255" s="521"/>
      <c r="G255" s="522"/>
      <c r="H255" s="271">
        <f t="shared" si="3"/>
        <v>0</v>
      </c>
    </row>
    <row r="256" spans="1:8" s="523" customFormat="1">
      <c r="A256" s="519">
        <v>263</v>
      </c>
      <c r="B256" s="519"/>
      <c r="C256" s="524" t="s">
        <v>866</v>
      </c>
      <c r="D256" s="520" t="s">
        <v>170</v>
      </c>
      <c r="E256" s="519"/>
      <c r="F256" s="521"/>
      <c r="G256" s="522"/>
      <c r="H256" s="271">
        <f t="shared" si="3"/>
        <v>0</v>
      </c>
    </row>
    <row r="257" spans="1:8" s="523" customFormat="1">
      <c r="A257" s="519">
        <v>264</v>
      </c>
      <c r="B257" s="519"/>
      <c r="C257" s="524" t="s">
        <v>867</v>
      </c>
      <c r="D257" s="520" t="s">
        <v>170</v>
      </c>
      <c r="E257" s="519"/>
      <c r="F257" s="521"/>
      <c r="G257" s="522"/>
      <c r="H257" s="271">
        <f t="shared" si="3"/>
        <v>0</v>
      </c>
    </row>
    <row r="258" spans="1:8" s="523" customFormat="1">
      <c r="A258" s="519">
        <v>265</v>
      </c>
      <c r="B258" s="519"/>
      <c r="C258" s="524" t="s">
        <v>868</v>
      </c>
      <c r="D258" s="520" t="s">
        <v>170</v>
      </c>
      <c r="E258" s="519"/>
      <c r="F258" s="521"/>
      <c r="G258" s="522"/>
      <c r="H258" s="271">
        <f t="shared" si="3"/>
        <v>0</v>
      </c>
    </row>
    <row r="259" spans="1:8" s="523" customFormat="1">
      <c r="A259" s="519">
        <v>266</v>
      </c>
      <c r="B259" s="519"/>
      <c r="C259" s="524" t="s">
        <v>869</v>
      </c>
      <c r="D259" s="520" t="s">
        <v>170</v>
      </c>
      <c r="E259" s="519"/>
      <c r="F259" s="521"/>
      <c r="G259" s="522"/>
      <c r="H259" s="271">
        <f t="shared" si="3"/>
        <v>0</v>
      </c>
    </row>
    <row r="260" spans="1:8" s="523" customFormat="1">
      <c r="A260" s="519">
        <v>267</v>
      </c>
      <c r="B260" s="519"/>
      <c r="C260" s="524" t="s">
        <v>870</v>
      </c>
      <c r="D260" s="520" t="s">
        <v>170</v>
      </c>
      <c r="E260" s="519"/>
      <c r="F260" s="521"/>
      <c r="G260" s="522"/>
      <c r="H260" s="271">
        <f t="shared" si="3"/>
        <v>0</v>
      </c>
    </row>
    <row r="261" spans="1:8" s="523" customFormat="1">
      <c r="A261" s="519">
        <v>268</v>
      </c>
      <c r="B261" s="519"/>
      <c r="C261" s="524" t="s">
        <v>871</v>
      </c>
      <c r="D261" s="520" t="s">
        <v>170</v>
      </c>
      <c r="E261" s="519"/>
      <c r="F261" s="521"/>
      <c r="G261" s="522"/>
      <c r="H261" s="271">
        <f t="shared" ref="H261:H324" si="4">+$H$2</f>
        <v>0</v>
      </c>
    </row>
    <row r="262" spans="1:8" s="523" customFormat="1" ht="14.5">
      <c r="A262" s="519">
        <v>269</v>
      </c>
      <c r="B262" s="519"/>
      <c r="C262" s="529" t="s">
        <v>872</v>
      </c>
      <c r="D262" s="520" t="s">
        <v>170</v>
      </c>
      <c r="E262" s="519"/>
      <c r="F262" s="521"/>
      <c r="G262" s="522"/>
      <c r="H262" s="271">
        <f t="shared" si="4"/>
        <v>0</v>
      </c>
    </row>
    <row r="263" spans="1:8" s="523" customFormat="1" ht="14.5">
      <c r="A263" s="519">
        <v>270</v>
      </c>
      <c r="B263" s="519"/>
      <c r="C263" s="529" t="s">
        <v>873</v>
      </c>
      <c r="D263" s="520" t="s">
        <v>170</v>
      </c>
      <c r="E263" s="519"/>
      <c r="F263" s="521"/>
      <c r="G263" s="522"/>
      <c r="H263" s="271">
        <f t="shared" si="4"/>
        <v>0</v>
      </c>
    </row>
    <row r="264" spans="1:8" s="523" customFormat="1" ht="14.5">
      <c r="A264" s="519">
        <v>271</v>
      </c>
      <c r="B264" s="519"/>
      <c r="C264" s="529" t="s">
        <v>874</v>
      </c>
      <c r="D264" s="520" t="s">
        <v>170</v>
      </c>
      <c r="E264" s="519"/>
      <c r="F264" s="521"/>
      <c r="G264" s="522"/>
      <c r="H264" s="271">
        <f t="shared" si="4"/>
        <v>0</v>
      </c>
    </row>
    <row r="265" spans="1:8" s="523" customFormat="1" ht="14.5">
      <c r="A265" s="519">
        <v>272</v>
      </c>
      <c r="B265" s="519"/>
      <c r="C265" s="529" t="s">
        <v>875</v>
      </c>
      <c r="D265" s="520" t="s">
        <v>170</v>
      </c>
      <c r="E265" s="519"/>
      <c r="F265" s="521"/>
      <c r="G265" s="522"/>
      <c r="H265" s="271">
        <f t="shared" si="4"/>
        <v>0</v>
      </c>
    </row>
    <row r="266" spans="1:8" s="523" customFormat="1" ht="14.5">
      <c r="A266" s="519">
        <v>273</v>
      </c>
      <c r="B266" s="519"/>
      <c r="C266" s="529" t="s">
        <v>876</v>
      </c>
      <c r="D266" s="520" t="s">
        <v>170</v>
      </c>
      <c r="E266" s="519"/>
      <c r="F266" s="521"/>
      <c r="G266" s="522"/>
      <c r="H266" s="271">
        <f t="shared" si="4"/>
        <v>0</v>
      </c>
    </row>
    <row r="267" spans="1:8" s="523" customFormat="1">
      <c r="A267" s="519">
        <v>274</v>
      </c>
      <c r="B267" s="519"/>
      <c r="C267" s="524" t="s">
        <v>877</v>
      </c>
      <c r="D267" s="520" t="s">
        <v>170</v>
      </c>
      <c r="E267" s="519"/>
      <c r="F267" s="521"/>
      <c r="G267" s="522"/>
      <c r="H267" s="271">
        <f t="shared" si="4"/>
        <v>0</v>
      </c>
    </row>
    <row r="268" spans="1:8" s="523" customFormat="1">
      <c r="A268" s="519">
        <v>275</v>
      </c>
      <c r="B268" s="519"/>
      <c r="C268" s="524" t="s">
        <v>878</v>
      </c>
      <c r="D268" s="520" t="s">
        <v>170</v>
      </c>
      <c r="E268" s="519"/>
      <c r="F268" s="521"/>
      <c r="G268" s="522"/>
      <c r="H268" s="271">
        <f t="shared" si="4"/>
        <v>0</v>
      </c>
    </row>
    <row r="269" spans="1:8" s="523" customFormat="1">
      <c r="A269" s="519">
        <v>276</v>
      </c>
      <c r="B269" s="519"/>
      <c r="C269" s="524" t="s">
        <v>879</v>
      </c>
      <c r="D269" s="520" t="s">
        <v>170</v>
      </c>
      <c r="E269" s="519"/>
      <c r="F269" s="521"/>
      <c r="G269" s="522"/>
      <c r="H269" s="271">
        <f t="shared" si="4"/>
        <v>0</v>
      </c>
    </row>
    <row r="270" spans="1:8" s="523" customFormat="1">
      <c r="A270" s="519">
        <v>277</v>
      </c>
      <c r="B270" s="519"/>
      <c r="C270" s="524" t="s">
        <v>880</v>
      </c>
      <c r="D270" s="520" t="s">
        <v>170</v>
      </c>
      <c r="E270" s="519"/>
      <c r="F270" s="521"/>
      <c r="G270" s="522"/>
      <c r="H270" s="271">
        <f t="shared" si="4"/>
        <v>0</v>
      </c>
    </row>
    <row r="271" spans="1:8" s="523" customFormat="1">
      <c r="A271" s="519">
        <v>278</v>
      </c>
      <c r="B271" s="519"/>
      <c r="C271" s="524" t="s">
        <v>881</v>
      </c>
      <c r="D271" s="520" t="s">
        <v>170</v>
      </c>
      <c r="E271" s="519"/>
      <c r="F271" s="521"/>
      <c r="G271" s="522"/>
      <c r="H271" s="271">
        <f t="shared" si="4"/>
        <v>0</v>
      </c>
    </row>
    <row r="272" spans="1:8" s="523" customFormat="1">
      <c r="A272" s="519">
        <v>279</v>
      </c>
      <c r="B272" s="519"/>
      <c r="C272" s="524" t="s">
        <v>882</v>
      </c>
      <c r="D272" s="520" t="s">
        <v>170</v>
      </c>
      <c r="E272" s="519"/>
      <c r="F272" s="521"/>
      <c r="G272" s="522"/>
      <c r="H272" s="271">
        <f t="shared" si="4"/>
        <v>0</v>
      </c>
    </row>
    <row r="273" spans="1:8" s="523" customFormat="1">
      <c r="A273" s="519">
        <v>280</v>
      </c>
      <c r="B273" s="519"/>
      <c r="C273" s="524" t="s">
        <v>883</v>
      </c>
      <c r="D273" s="520" t="s">
        <v>170</v>
      </c>
      <c r="E273" s="519"/>
      <c r="F273" s="521"/>
      <c r="G273" s="522"/>
      <c r="H273" s="271">
        <f t="shared" si="4"/>
        <v>0</v>
      </c>
    </row>
    <row r="274" spans="1:8" s="523" customFormat="1">
      <c r="A274" s="519">
        <v>281</v>
      </c>
      <c r="B274" s="519"/>
      <c r="C274" s="524" t="s">
        <v>884</v>
      </c>
      <c r="D274" s="520" t="s">
        <v>170</v>
      </c>
      <c r="E274" s="519">
        <v>1</v>
      </c>
      <c r="F274" s="521"/>
      <c r="G274" s="522"/>
      <c r="H274" s="271">
        <f t="shared" si="4"/>
        <v>0</v>
      </c>
    </row>
    <row r="275" spans="1:8" s="523" customFormat="1">
      <c r="A275" s="519">
        <v>282</v>
      </c>
      <c r="B275" s="519"/>
      <c r="C275" s="524" t="s">
        <v>885</v>
      </c>
      <c r="D275" s="520" t="s">
        <v>170</v>
      </c>
      <c r="E275" s="519"/>
      <c r="F275" s="521"/>
      <c r="G275" s="522"/>
      <c r="H275" s="271">
        <f t="shared" si="4"/>
        <v>0</v>
      </c>
    </row>
    <row r="276" spans="1:8" s="523" customFormat="1">
      <c r="A276" s="519">
        <v>283</v>
      </c>
      <c r="B276" s="519"/>
      <c r="C276" s="524" t="s">
        <v>886</v>
      </c>
      <c r="D276" s="520" t="s">
        <v>170</v>
      </c>
      <c r="E276" s="519"/>
      <c r="F276" s="521"/>
      <c r="G276" s="522"/>
      <c r="H276" s="271">
        <f t="shared" si="4"/>
        <v>0</v>
      </c>
    </row>
    <row r="277" spans="1:8" s="523" customFormat="1">
      <c r="A277" s="519">
        <v>284</v>
      </c>
      <c r="B277" s="519"/>
      <c r="C277" s="524" t="s">
        <v>887</v>
      </c>
      <c r="D277" s="520" t="s">
        <v>170</v>
      </c>
      <c r="E277" s="519"/>
      <c r="F277" s="521"/>
      <c r="G277" s="522"/>
      <c r="H277" s="271">
        <f t="shared" si="4"/>
        <v>0</v>
      </c>
    </row>
    <row r="278" spans="1:8" s="523" customFormat="1">
      <c r="A278" s="519">
        <v>285</v>
      </c>
      <c r="B278" s="519"/>
      <c r="C278" s="524" t="s">
        <v>888</v>
      </c>
      <c r="D278" s="520" t="s">
        <v>170</v>
      </c>
      <c r="E278" s="519"/>
      <c r="F278" s="521"/>
      <c r="G278" s="522"/>
      <c r="H278" s="271">
        <f t="shared" si="4"/>
        <v>0</v>
      </c>
    </row>
    <row r="279" spans="1:8" s="523" customFormat="1">
      <c r="A279" s="519">
        <v>286</v>
      </c>
      <c r="B279" s="519"/>
      <c r="C279" s="524" t="s">
        <v>889</v>
      </c>
      <c r="D279" s="520" t="s">
        <v>170</v>
      </c>
      <c r="E279" s="519"/>
      <c r="F279" s="521"/>
      <c r="G279" s="522"/>
      <c r="H279" s="271">
        <f t="shared" si="4"/>
        <v>0</v>
      </c>
    </row>
    <row r="280" spans="1:8" s="523" customFormat="1">
      <c r="A280" s="519">
        <v>287</v>
      </c>
      <c r="B280" s="519"/>
      <c r="C280" s="524" t="s">
        <v>890</v>
      </c>
      <c r="D280" s="520" t="s">
        <v>170</v>
      </c>
      <c r="E280" s="519"/>
      <c r="F280" s="521"/>
      <c r="G280" s="522"/>
      <c r="H280" s="271">
        <f t="shared" si="4"/>
        <v>0</v>
      </c>
    </row>
    <row r="281" spans="1:8" s="523" customFormat="1">
      <c r="A281" s="519">
        <v>288</v>
      </c>
      <c r="B281" s="519"/>
      <c r="C281" s="524" t="s">
        <v>891</v>
      </c>
      <c r="D281" s="520" t="s">
        <v>170</v>
      </c>
      <c r="E281" s="519">
        <v>25.5</v>
      </c>
      <c r="F281" s="521"/>
      <c r="G281" s="522"/>
      <c r="H281" s="271">
        <f t="shared" si="4"/>
        <v>0</v>
      </c>
    </row>
    <row r="282" spans="1:8" s="523" customFormat="1">
      <c r="A282" s="519">
        <v>289</v>
      </c>
      <c r="B282" s="519"/>
      <c r="C282" s="524" t="s">
        <v>892</v>
      </c>
      <c r="D282" s="520" t="s">
        <v>170</v>
      </c>
      <c r="E282" s="519">
        <v>0.7</v>
      </c>
      <c r="F282" s="521"/>
      <c r="G282" s="522"/>
      <c r="H282" s="271">
        <f t="shared" si="4"/>
        <v>0</v>
      </c>
    </row>
    <row r="283" spans="1:8" s="523" customFormat="1">
      <c r="A283" s="519">
        <v>290</v>
      </c>
      <c r="B283" s="519"/>
      <c r="C283" s="524" t="s">
        <v>893</v>
      </c>
      <c r="D283" s="520" t="s">
        <v>170</v>
      </c>
      <c r="E283" s="519"/>
      <c r="F283" s="521"/>
      <c r="G283" s="522"/>
      <c r="H283" s="271">
        <f t="shared" si="4"/>
        <v>0</v>
      </c>
    </row>
    <row r="284" spans="1:8" s="523" customFormat="1">
      <c r="A284" s="519">
        <v>291</v>
      </c>
      <c r="B284" s="519"/>
      <c r="C284" s="524" t="s">
        <v>894</v>
      </c>
      <c r="D284" s="520" t="s">
        <v>170</v>
      </c>
      <c r="E284" s="519"/>
      <c r="F284" s="521"/>
      <c r="G284" s="522"/>
      <c r="H284" s="271">
        <f t="shared" si="4"/>
        <v>0</v>
      </c>
    </row>
    <row r="285" spans="1:8" s="523" customFormat="1">
      <c r="A285" s="519">
        <v>292</v>
      </c>
      <c r="B285" s="519"/>
      <c r="C285" s="524" t="s">
        <v>895</v>
      </c>
      <c r="D285" s="520" t="s">
        <v>170</v>
      </c>
      <c r="E285" s="519"/>
      <c r="F285" s="521"/>
      <c r="G285" s="522"/>
      <c r="H285" s="271">
        <f t="shared" si="4"/>
        <v>0</v>
      </c>
    </row>
    <row r="286" spans="1:8" s="523" customFormat="1">
      <c r="A286" s="519">
        <v>293</v>
      </c>
      <c r="B286" s="519"/>
      <c r="C286" s="524" t="s">
        <v>896</v>
      </c>
      <c r="D286" s="520" t="s">
        <v>170</v>
      </c>
      <c r="E286" s="519"/>
      <c r="F286" s="521"/>
      <c r="G286" s="522"/>
      <c r="H286" s="271">
        <f t="shared" si="4"/>
        <v>0</v>
      </c>
    </row>
    <row r="287" spans="1:8" s="523" customFormat="1">
      <c r="A287" s="519">
        <v>294</v>
      </c>
      <c r="B287" s="519"/>
      <c r="C287" s="524" t="s">
        <v>897</v>
      </c>
      <c r="D287" s="520" t="s">
        <v>170</v>
      </c>
      <c r="E287" s="519"/>
      <c r="F287" s="521"/>
      <c r="G287" s="522"/>
      <c r="H287" s="271">
        <f t="shared" si="4"/>
        <v>0</v>
      </c>
    </row>
    <row r="288" spans="1:8" s="523" customFormat="1">
      <c r="A288" s="519">
        <v>295</v>
      </c>
      <c r="B288" s="519"/>
      <c r="C288" s="524" t="s">
        <v>898</v>
      </c>
      <c r="D288" s="520" t="s">
        <v>170</v>
      </c>
      <c r="E288" s="519"/>
      <c r="F288" s="521"/>
      <c r="G288" s="522"/>
      <c r="H288" s="271">
        <f t="shared" si="4"/>
        <v>0</v>
      </c>
    </row>
    <row r="289" spans="1:8" s="523" customFormat="1">
      <c r="A289" s="519">
        <v>296</v>
      </c>
      <c r="B289" s="519"/>
      <c r="C289" s="524" t="s">
        <v>899</v>
      </c>
      <c r="D289" s="520" t="s">
        <v>170</v>
      </c>
      <c r="E289" s="519"/>
      <c r="F289" s="521"/>
      <c r="G289" s="522"/>
      <c r="H289" s="271">
        <f t="shared" si="4"/>
        <v>0</v>
      </c>
    </row>
    <row r="290" spans="1:8" s="523" customFormat="1">
      <c r="A290" s="519">
        <v>297</v>
      </c>
      <c r="B290" s="519"/>
      <c r="C290" s="524" t="s">
        <v>900</v>
      </c>
      <c r="D290" s="520" t="s">
        <v>170</v>
      </c>
      <c r="E290" s="519"/>
      <c r="F290" s="521"/>
      <c r="G290" s="522"/>
      <c r="H290" s="271">
        <f t="shared" si="4"/>
        <v>0</v>
      </c>
    </row>
    <row r="291" spans="1:8" s="523" customFormat="1">
      <c r="A291" s="519">
        <v>298</v>
      </c>
      <c r="B291" s="519"/>
      <c r="C291" s="524" t="s">
        <v>901</v>
      </c>
      <c r="D291" s="520" t="s">
        <v>170</v>
      </c>
      <c r="E291" s="519"/>
      <c r="F291" s="521"/>
      <c r="G291" s="522"/>
      <c r="H291" s="271">
        <f t="shared" si="4"/>
        <v>0</v>
      </c>
    </row>
    <row r="292" spans="1:8" s="523" customFormat="1">
      <c r="A292" s="519">
        <v>299</v>
      </c>
      <c r="B292" s="519"/>
      <c r="C292" s="524" t="s">
        <v>902</v>
      </c>
      <c r="D292" s="520" t="s">
        <v>170</v>
      </c>
      <c r="E292" s="519"/>
      <c r="F292" s="521"/>
      <c r="G292" s="522"/>
      <c r="H292" s="271">
        <f t="shared" si="4"/>
        <v>0</v>
      </c>
    </row>
    <row r="293" spans="1:8" s="523" customFormat="1" ht="14.5">
      <c r="A293" s="519">
        <v>300</v>
      </c>
      <c r="B293" s="519"/>
      <c r="C293" s="529" t="s">
        <v>903</v>
      </c>
      <c r="D293" s="520" t="s">
        <v>904</v>
      </c>
      <c r="E293" s="519"/>
      <c r="F293" s="521"/>
      <c r="G293" s="522"/>
      <c r="H293" s="271">
        <f t="shared" si="4"/>
        <v>0</v>
      </c>
    </row>
    <row r="294" spans="1:8" s="523" customFormat="1">
      <c r="A294" s="519">
        <v>301</v>
      </c>
      <c r="B294" s="519"/>
      <c r="C294" s="524" t="s">
        <v>905</v>
      </c>
      <c r="D294" s="520" t="s">
        <v>170</v>
      </c>
      <c r="E294" s="519">
        <v>0.25</v>
      </c>
      <c r="F294" s="521"/>
      <c r="G294" s="522"/>
      <c r="H294" s="271">
        <f t="shared" si="4"/>
        <v>0</v>
      </c>
    </row>
    <row r="295" spans="1:8" s="523" customFormat="1">
      <c r="A295" s="519">
        <v>302</v>
      </c>
      <c r="B295" s="519"/>
      <c r="C295" s="524" t="s">
        <v>906</v>
      </c>
      <c r="D295" s="520" t="s">
        <v>170</v>
      </c>
      <c r="E295" s="519">
        <v>0.12</v>
      </c>
      <c r="F295" s="521"/>
      <c r="G295" s="522"/>
      <c r="H295" s="271">
        <f t="shared" si="4"/>
        <v>0</v>
      </c>
    </row>
    <row r="296" spans="1:8" s="523" customFormat="1">
      <c r="A296" s="519">
        <v>303</v>
      </c>
      <c r="B296" s="519"/>
      <c r="C296" s="524" t="s">
        <v>907</v>
      </c>
      <c r="D296" s="520" t="s">
        <v>170</v>
      </c>
      <c r="E296" s="519">
        <v>0.1</v>
      </c>
      <c r="F296" s="521"/>
      <c r="G296" s="522"/>
      <c r="H296" s="271">
        <f t="shared" si="4"/>
        <v>0</v>
      </c>
    </row>
    <row r="297" spans="1:8" s="523" customFormat="1">
      <c r="A297" s="519">
        <v>304</v>
      </c>
      <c r="B297" s="519"/>
      <c r="C297" s="524" t="s">
        <v>908</v>
      </c>
      <c r="D297" s="520" t="s">
        <v>170</v>
      </c>
      <c r="E297" s="519">
        <v>0.01</v>
      </c>
      <c r="F297" s="521"/>
      <c r="G297" s="522"/>
      <c r="H297" s="271">
        <f t="shared" si="4"/>
        <v>0</v>
      </c>
    </row>
    <row r="298" spans="1:8" s="523" customFormat="1">
      <c r="A298" s="519">
        <v>305</v>
      </c>
      <c r="B298" s="519"/>
      <c r="C298" s="524" t="s">
        <v>909</v>
      </c>
      <c r="D298" s="520" t="s">
        <v>170</v>
      </c>
      <c r="E298" s="519">
        <v>1</v>
      </c>
      <c r="F298" s="521"/>
      <c r="G298" s="522"/>
      <c r="H298" s="271">
        <f t="shared" si="4"/>
        <v>0</v>
      </c>
    </row>
    <row r="299" spans="1:8" s="523" customFormat="1">
      <c r="A299" s="519">
        <v>306</v>
      </c>
      <c r="B299" s="519"/>
      <c r="C299" s="524" t="s">
        <v>910</v>
      </c>
      <c r="D299" s="520" t="s">
        <v>170</v>
      </c>
      <c r="E299" s="519">
        <v>5</v>
      </c>
      <c r="F299" s="521"/>
      <c r="G299" s="522"/>
      <c r="H299" s="271">
        <f t="shared" si="4"/>
        <v>0</v>
      </c>
    </row>
    <row r="300" spans="1:8" s="523" customFormat="1">
      <c r="A300" s="519">
        <v>307</v>
      </c>
      <c r="B300" s="519"/>
      <c r="C300" s="524" t="s">
        <v>911</v>
      </c>
      <c r="D300" s="520" t="s">
        <v>904</v>
      </c>
      <c r="E300" s="519">
        <v>0.5</v>
      </c>
      <c r="F300" s="521"/>
      <c r="G300" s="522"/>
      <c r="H300" s="271">
        <f t="shared" si="4"/>
        <v>0</v>
      </c>
    </row>
    <row r="301" spans="1:8" s="523" customFormat="1">
      <c r="A301" s="519">
        <v>308</v>
      </c>
      <c r="B301" s="519"/>
      <c r="C301" s="524" t="s">
        <v>912</v>
      </c>
      <c r="D301" s="520" t="s">
        <v>170</v>
      </c>
      <c r="E301" s="519">
        <v>0.12</v>
      </c>
      <c r="F301" s="521"/>
      <c r="G301" s="522"/>
      <c r="H301" s="271">
        <f t="shared" si="4"/>
        <v>0</v>
      </c>
    </row>
    <row r="302" spans="1:8" s="523" customFormat="1">
      <c r="A302" s="519">
        <v>309</v>
      </c>
      <c r="B302" s="519"/>
      <c r="C302" s="524" t="s">
        <v>913</v>
      </c>
      <c r="D302" s="520" t="s">
        <v>904</v>
      </c>
      <c r="E302" s="519">
        <v>0.05</v>
      </c>
      <c r="F302" s="521"/>
      <c r="G302" s="522"/>
      <c r="H302" s="271">
        <f t="shared" si="4"/>
        <v>0</v>
      </c>
    </row>
    <row r="303" spans="1:8" s="523" customFormat="1">
      <c r="A303" s="519">
        <v>310</v>
      </c>
      <c r="B303" s="519"/>
      <c r="C303" s="524" t="s">
        <v>914</v>
      </c>
      <c r="D303" s="520" t="s">
        <v>170</v>
      </c>
      <c r="E303" s="519">
        <v>0.05</v>
      </c>
      <c r="F303" s="521"/>
      <c r="G303" s="522"/>
      <c r="H303" s="271">
        <f t="shared" si="4"/>
        <v>0</v>
      </c>
    </row>
    <row r="304" spans="1:8" s="523" customFormat="1">
      <c r="A304" s="519">
        <v>311</v>
      </c>
      <c r="B304" s="519"/>
      <c r="C304" s="524" t="s">
        <v>915</v>
      </c>
      <c r="D304" s="520" t="s">
        <v>170</v>
      </c>
      <c r="E304" s="519">
        <v>1</v>
      </c>
      <c r="F304" s="521"/>
      <c r="G304" s="522"/>
      <c r="H304" s="271">
        <f t="shared" si="4"/>
        <v>0</v>
      </c>
    </row>
    <row r="305" spans="1:8" s="523" customFormat="1">
      <c r="A305" s="519">
        <v>312</v>
      </c>
      <c r="B305" s="519"/>
      <c r="C305" s="524" t="s">
        <v>916</v>
      </c>
      <c r="D305" s="520" t="s">
        <v>170</v>
      </c>
      <c r="E305" s="519"/>
      <c r="F305" s="521"/>
      <c r="G305" s="522"/>
      <c r="H305" s="271">
        <f t="shared" si="4"/>
        <v>0</v>
      </c>
    </row>
    <row r="306" spans="1:8" s="523" customFormat="1">
      <c r="A306" s="519">
        <v>313</v>
      </c>
      <c r="B306" s="519"/>
      <c r="C306" s="524" t="s">
        <v>917</v>
      </c>
      <c r="D306" s="520" t="s">
        <v>170</v>
      </c>
      <c r="E306" s="519">
        <v>1</v>
      </c>
      <c r="F306" s="521"/>
      <c r="G306" s="522"/>
      <c r="H306" s="271">
        <f t="shared" si="4"/>
        <v>0</v>
      </c>
    </row>
    <row r="307" spans="1:8" s="523" customFormat="1">
      <c r="A307" s="519">
        <v>314</v>
      </c>
      <c r="B307" s="519"/>
      <c r="C307" s="524" t="s">
        <v>918</v>
      </c>
      <c r="D307" s="520" t="s">
        <v>170</v>
      </c>
      <c r="E307" s="519">
        <v>0.1</v>
      </c>
      <c r="F307" s="521"/>
      <c r="G307" s="522"/>
      <c r="H307" s="271">
        <f t="shared" si="4"/>
        <v>0</v>
      </c>
    </row>
    <row r="308" spans="1:8" s="523" customFormat="1">
      <c r="A308" s="519">
        <v>315</v>
      </c>
      <c r="B308" s="519"/>
      <c r="C308" s="524" t="s">
        <v>919</v>
      </c>
      <c r="D308" s="520" t="s">
        <v>170</v>
      </c>
      <c r="E308" s="519">
        <v>1</v>
      </c>
      <c r="F308" s="521"/>
      <c r="G308" s="522"/>
      <c r="H308" s="271">
        <f t="shared" si="4"/>
        <v>0</v>
      </c>
    </row>
    <row r="309" spans="1:8" s="523" customFormat="1" ht="14.5">
      <c r="A309" s="519">
        <v>316</v>
      </c>
      <c r="B309" s="519"/>
      <c r="C309" s="529" t="s">
        <v>920</v>
      </c>
      <c r="D309" s="520" t="s">
        <v>904</v>
      </c>
      <c r="E309" s="519">
        <v>1.034</v>
      </c>
      <c r="F309" s="521"/>
      <c r="G309" s="522"/>
      <c r="H309" s="271">
        <f t="shared" si="4"/>
        <v>0</v>
      </c>
    </row>
    <row r="310" spans="1:8" s="523" customFormat="1" ht="14.5">
      <c r="A310" s="519">
        <v>317</v>
      </c>
      <c r="B310" s="519"/>
      <c r="C310" s="529" t="s">
        <v>921</v>
      </c>
      <c r="D310" s="520" t="s">
        <v>904</v>
      </c>
      <c r="E310" s="519"/>
      <c r="F310" s="521"/>
      <c r="G310" s="522"/>
      <c r="H310" s="271">
        <f t="shared" si="4"/>
        <v>0</v>
      </c>
    </row>
    <row r="311" spans="1:8" s="523" customFormat="1" ht="14.5">
      <c r="A311" s="519">
        <v>318</v>
      </c>
      <c r="B311" s="519"/>
      <c r="C311" s="529" t="s">
        <v>922</v>
      </c>
      <c r="D311" s="520" t="s">
        <v>904</v>
      </c>
      <c r="E311" s="519"/>
      <c r="F311" s="521"/>
      <c r="G311" s="522"/>
      <c r="H311" s="271">
        <f t="shared" si="4"/>
        <v>0</v>
      </c>
    </row>
    <row r="312" spans="1:8" s="523" customFormat="1">
      <c r="A312" s="519">
        <v>319</v>
      </c>
      <c r="B312" s="519"/>
      <c r="C312" s="524" t="s">
        <v>923</v>
      </c>
      <c r="D312" s="520" t="s">
        <v>170</v>
      </c>
      <c r="E312" s="519">
        <v>0.2</v>
      </c>
      <c r="F312" s="521"/>
      <c r="G312" s="522"/>
      <c r="H312" s="271">
        <f t="shared" si="4"/>
        <v>0</v>
      </c>
    </row>
    <row r="313" spans="1:8" s="523" customFormat="1">
      <c r="A313" s="519">
        <v>320</v>
      </c>
      <c r="B313" s="519"/>
      <c r="C313" s="524" t="s">
        <v>924</v>
      </c>
      <c r="D313" s="520" t="s">
        <v>170</v>
      </c>
      <c r="E313" s="519">
        <v>0.2</v>
      </c>
      <c r="F313" s="521"/>
      <c r="G313" s="522"/>
      <c r="H313" s="271">
        <f t="shared" si="4"/>
        <v>0</v>
      </c>
    </row>
    <row r="314" spans="1:8" s="523" customFormat="1">
      <c r="A314" s="519">
        <v>321</v>
      </c>
      <c r="B314" s="519"/>
      <c r="C314" s="524" t="s">
        <v>925</v>
      </c>
      <c r="D314" s="520" t="s">
        <v>170</v>
      </c>
      <c r="E314" s="519">
        <v>0.3</v>
      </c>
      <c r="F314" s="521"/>
      <c r="G314" s="522"/>
      <c r="H314" s="271">
        <f t="shared" si="4"/>
        <v>0</v>
      </c>
    </row>
    <row r="315" spans="1:8" s="523" customFormat="1">
      <c r="A315" s="519">
        <v>322</v>
      </c>
      <c r="B315" s="519"/>
      <c r="C315" s="524" t="s">
        <v>926</v>
      </c>
      <c r="D315" s="520" t="s">
        <v>170</v>
      </c>
      <c r="E315" s="519"/>
      <c r="F315" s="521"/>
      <c r="G315" s="522"/>
      <c r="H315" s="271">
        <f t="shared" si="4"/>
        <v>0</v>
      </c>
    </row>
    <row r="316" spans="1:8" s="523" customFormat="1">
      <c r="A316" s="519">
        <v>323</v>
      </c>
      <c r="B316" s="519"/>
      <c r="C316" s="524" t="s">
        <v>927</v>
      </c>
      <c r="D316" s="520" t="s">
        <v>170</v>
      </c>
      <c r="E316" s="519"/>
      <c r="F316" s="521"/>
      <c r="G316" s="522"/>
      <c r="H316" s="271">
        <f t="shared" si="4"/>
        <v>0</v>
      </c>
    </row>
    <row r="317" spans="1:8" s="523" customFormat="1">
      <c r="A317" s="519">
        <v>324</v>
      </c>
      <c r="B317" s="519"/>
      <c r="C317" s="524" t="s">
        <v>928</v>
      </c>
      <c r="D317" s="520" t="s">
        <v>170</v>
      </c>
      <c r="E317" s="519"/>
      <c r="F317" s="521"/>
      <c r="G317" s="522"/>
      <c r="H317" s="271">
        <f t="shared" si="4"/>
        <v>0</v>
      </c>
    </row>
    <row r="318" spans="1:8" s="523" customFormat="1">
      <c r="A318" s="519">
        <v>325</v>
      </c>
      <c r="B318" s="519"/>
      <c r="C318" s="524" t="s">
        <v>929</v>
      </c>
      <c r="D318" s="520" t="s">
        <v>170</v>
      </c>
      <c r="E318" s="519"/>
      <c r="F318" s="521"/>
      <c r="G318" s="522"/>
      <c r="H318" s="271">
        <f t="shared" si="4"/>
        <v>0</v>
      </c>
    </row>
    <row r="319" spans="1:8" s="523" customFormat="1" ht="42">
      <c r="A319" s="519">
        <v>326</v>
      </c>
      <c r="B319" s="519"/>
      <c r="C319" s="524" t="s">
        <v>930</v>
      </c>
      <c r="D319" s="520" t="s">
        <v>170</v>
      </c>
      <c r="E319" s="519"/>
      <c r="F319" s="521"/>
      <c r="G319" s="522"/>
      <c r="H319" s="271">
        <f t="shared" si="4"/>
        <v>0</v>
      </c>
    </row>
    <row r="320" spans="1:8" s="523" customFormat="1">
      <c r="A320" s="519">
        <v>327</v>
      </c>
      <c r="B320" s="519"/>
      <c r="C320" s="524" t="s">
        <v>931</v>
      </c>
      <c r="D320" s="520" t="s">
        <v>170</v>
      </c>
      <c r="E320" s="519">
        <v>3</v>
      </c>
      <c r="F320" s="521"/>
      <c r="G320" s="522"/>
      <c r="H320" s="271">
        <f t="shared" si="4"/>
        <v>0</v>
      </c>
    </row>
    <row r="321" spans="1:8" s="523" customFormat="1">
      <c r="A321" s="519">
        <v>328</v>
      </c>
      <c r="B321" s="519"/>
      <c r="C321" s="524" t="s">
        <v>932</v>
      </c>
      <c r="D321" s="520" t="s">
        <v>170</v>
      </c>
      <c r="E321" s="519"/>
      <c r="F321" s="521"/>
      <c r="G321" s="522"/>
      <c r="H321" s="271">
        <f t="shared" si="4"/>
        <v>0</v>
      </c>
    </row>
    <row r="322" spans="1:8" s="523" customFormat="1">
      <c r="A322" s="519">
        <v>329</v>
      </c>
      <c r="B322" s="519"/>
      <c r="C322" s="524" t="s">
        <v>933</v>
      </c>
      <c r="D322" s="520" t="s">
        <v>170</v>
      </c>
      <c r="E322" s="519"/>
      <c r="F322" s="521"/>
      <c r="G322" s="522"/>
      <c r="H322" s="271">
        <f t="shared" si="4"/>
        <v>0</v>
      </c>
    </row>
    <row r="323" spans="1:8" s="523" customFormat="1">
      <c r="A323" s="519">
        <v>330</v>
      </c>
      <c r="B323" s="519"/>
      <c r="C323" s="524" t="s">
        <v>934</v>
      </c>
      <c r="D323" s="520" t="s">
        <v>170</v>
      </c>
      <c r="E323" s="519"/>
      <c r="F323" s="521"/>
      <c r="G323" s="522"/>
      <c r="H323" s="271">
        <f t="shared" si="4"/>
        <v>0</v>
      </c>
    </row>
    <row r="324" spans="1:8" s="523" customFormat="1" ht="14.5">
      <c r="A324" s="519">
        <v>331</v>
      </c>
      <c r="B324" s="519"/>
      <c r="C324" s="529" t="s">
        <v>935</v>
      </c>
      <c r="D324" s="520" t="s">
        <v>170</v>
      </c>
      <c r="E324" s="519"/>
      <c r="F324" s="521"/>
      <c r="G324" s="522"/>
      <c r="H324" s="271">
        <f t="shared" si="4"/>
        <v>0</v>
      </c>
    </row>
    <row r="325" spans="1:8" s="523" customFormat="1">
      <c r="A325" s="519">
        <v>332</v>
      </c>
      <c r="B325" s="519"/>
      <c r="C325" s="524" t="s">
        <v>936</v>
      </c>
      <c r="D325" s="520" t="s">
        <v>170</v>
      </c>
      <c r="E325" s="519"/>
      <c r="F325" s="521"/>
      <c r="G325" s="522"/>
      <c r="H325" s="271">
        <f t="shared" ref="H325:H388" si="5">+$H$2</f>
        <v>0</v>
      </c>
    </row>
    <row r="326" spans="1:8" s="523" customFormat="1">
      <c r="A326" s="519">
        <v>333</v>
      </c>
      <c r="B326" s="519"/>
      <c r="C326" s="524" t="s">
        <v>937</v>
      </c>
      <c r="D326" s="520" t="s">
        <v>170</v>
      </c>
      <c r="E326" s="519">
        <v>0.1</v>
      </c>
      <c r="F326" s="521"/>
      <c r="G326" s="522"/>
      <c r="H326" s="271">
        <f t="shared" si="5"/>
        <v>0</v>
      </c>
    </row>
    <row r="327" spans="1:8" s="523" customFormat="1">
      <c r="A327" s="519">
        <v>334</v>
      </c>
      <c r="B327" s="519"/>
      <c r="C327" s="524" t="s">
        <v>938</v>
      </c>
      <c r="D327" s="520" t="s">
        <v>170</v>
      </c>
      <c r="E327" s="519">
        <v>1</v>
      </c>
      <c r="F327" s="521"/>
      <c r="G327" s="522"/>
      <c r="H327" s="271">
        <f t="shared" si="5"/>
        <v>0</v>
      </c>
    </row>
    <row r="328" spans="1:8" s="523" customFormat="1">
      <c r="A328" s="519">
        <v>335</v>
      </c>
      <c r="B328" s="519"/>
      <c r="C328" s="519" t="s">
        <v>939</v>
      </c>
      <c r="D328" s="520" t="s">
        <v>170</v>
      </c>
      <c r="E328" s="519">
        <v>199</v>
      </c>
      <c r="F328" s="521"/>
      <c r="G328" s="522"/>
      <c r="H328" s="271">
        <f t="shared" si="5"/>
        <v>0</v>
      </c>
    </row>
    <row r="329" spans="1:8" s="523" customFormat="1">
      <c r="A329" s="519">
        <v>336</v>
      </c>
      <c r="B329" s="519"/>
      <c r="C329" s="519" t="s">
        <v>940</v>
      </c>
      <c r="D329" s="520" t="s">
        <v>170</v>
      </c>
      <c r="E329" s="519">
        <v>2.8</v>
      </c>
      <c r="F329" s="521"/>
      <c r="G329" s="522"/>
      <c r="H329" s="271">
        <f t="shared" si="5"/>
        <v>0</v>
      </c>
    </row>
    <row r="330" spans="1:8" s="523" customFormat="1">
      <c r="A330" s="519">
        <v>337</v>
      </c>
      <c r="B330" s="519"/>
      <c r="C330" s="524" t="s">
        <v>941</v>
      </c>
      <c r="D330" s="519" t="s">
        <v>170</v>
      </c>
      <c r="E330" s="519">
        <v>57</v>
      </c>
      <c r="F330" s="521"/>
      <c r="G330" s="522"/>
      <c r="H330" s="271">
        <f t="shared" si="5"/>
        <v>0</v>
      </c>
    </row>
    <row r="331" spans="1:8" s="523" customFormat="1" ht="42">
      <c r="A331" s="519">
        <v>340</v>
      </c>
      <c r="B331" s="519" t="s">
        <v>692</v>
      </c>
      <c r="C331" s="524" t="s">
        <v>942</v>
      </c>
      <c r="D331" s="519" t="s">
        <v>170</v>
      </c>
      <c r="E331" s="519">
        <f>24+52</f>
        <v>76</v>
      </c>
      <c r="F331" s="522"/>
      <c r="G331" s="522"/>
      <c r="H331" s="271">
        <f t="shared" si="5"/>
        <v>0</v>
      </c>
    </row>
    <row r="332" spans="1:8" s="523" customFormat="1">
      <c r="A332" s="519">
        <v>341</v>
      </c>
      <c r="B332" s="519" t="s">
        <v>608</v>
      </c>
      <c r="C332" s="519" t="s">
        <v>943</v>
      </c>
      <c r="D332" s="520" t="s">
        <v>170</v>
      </c>
      <c r="E332" s="519">
        <v>0.24</v>
      </c>
      <c r="F332" s="521"/>
      <c r="G332" s="522"/>
      <c r="H332" s="271">
        <f t="shared" si="5"/>
        <v>0</v>
      </c>
    </row>
    <row r="333" spans="1:8" s="523" customFormat="1" ht="43.9" customHeight="1">
      <c r="A333" s="519">
        <v>342</v>
      </c>
      <c r="B333" s="519" t="s">
        <v>944</v>
      </c>
      <c r="C333" s="530" t="s">
        <v>945</v>
      </c>
      <c r="D333" s="520" t="s">
        <v>170</v>
      </c>
      <c r="E333" s="519">
        <v>0.5</v>
      </c>
      <c r="F333" s="521"/>
      <c r="G333" s="522"/>
      <c r="H333" s="271">
        <f t="shared" si="5"/>
        <v>0</v>
      </c>
    </row>
    <row r="334" spans="1:8" s="523" customFormat="1" ht="14.5">
      <c r="A334" s="519">
        <v>343</v>
      </c>
      <c r="B334" s="519" t="s">
        <v>944</v>
      </c>
      <c r="C334" s="530" t="s">
        <v>946</v>
      </c>
      <c r="D334" s="520" t="s">
        <v>170</v>
      </c>
      <c r="E334" s="519">
        <v>0.5</v>
      </c>
      <c r="F334" s="521"/>
      <c r="G334" s="522"/>
      <c r="H334" s="271">
        <f t="shared" si="5"/>
        <v>0</v>
      </c>
    </row>
    <row r="335" spans="1:8" s="523" customFormat="1" ht="14.5">
      <c r="A335" s="519">
        <v>344</v>
      </c>
      <c r="B335" s="519" t="s">
        <v>944</v>
      </c>
      <c r="C335" s="530" t="s">
        <v>947</v>
      </c>
      <c r="D335" s="520" t="s">
        <v>170</v>
      </c>
      <c r="E335" s="519">
        <v>0.5</v>
      </c>
      <c r="F335" s="521"/>
      <c r="G335" s="522"/>
      <c r="H335" s="271">
        <f t="shared" si="5"/>
        <v>0</v>
      </c>
    </row>
    <row r="336" spans="1:8" s="523" customFormat="1">
      <c r="A336" s="519">
        <v>345</v>
      </c>
      <c r="B336" s="519"/>
      <c r="C336" s="519" t="s">
        <v>948</v>
      </c>
      <c r="D336" s="519" t="s">
        <v>170</v>
      </c>
      <c r="E336" s="519">
        <v>0</v>
      </c>
      <c r="F336" s="522"/>
      <c r="G336" s="522"/>
      <c r="H336" s="271">
        <f t="shared" si="5"/>
        <v>0</v>
      </c>
    </row>
    <row r="337" spans="1:8" s="523" customFormat="1" ht="14.5">
      <c r="A337" s="519">
        <v>346</v>
      </c>
      <c r="B337" s="519" t="s">
        <v>944</v>
      </c>
      <c r="C337" s="530" t="s">
        <v>949</v>
      </c>
      <c r="D337" s="520" t="s">
        <v>170</v>
      </c>
      <c r="E337" s="519">
        <v>0.5</v>
      </c>
      <c r="F337" s="521"/>
      <c r="G337" s="522"/>
      <c r="H337" s="271">
        <f t="shared" si="5"/>
        <v>0</v>
      </c>
    </row>
    <row r="338" spans="1:8" s="523" customFormat="1">
      <c r="A338" s="519">
        <v>347</v>
      </c>
      <c r="B338" s="519"/>
      <c r="C338" s="519" t="s">
        <v>950</v>
      </c>
      <c r="D338" s="519" t="s">
        <v>170</v>
      </c>
      <c r="E338" s="519">
        <v>0</v>
      </c>
      <c r="F338" s="522"/>
      <c r="G338" s="522"/>
      <c r="H338" s="271">
        <f t="shared" si="5"/>
        <v>0</v>
      </c>
    </row>
    <row r="339" spans="1:8" s="523" customFormat="1" ht="14.5">
      <c r="A339" s="519">
        <v>348</v>
      </c>
      <c r="B339" s="519" t="s">
        <v>944</v>
      </c>
      <c r="C339" s="530" t="s">
        <v>810</v>
      </c>
      <c r="D339" s="520" t="s">
        <v>170</v>
      </c>
      <c r="E339" s="519">
        <v>0.5</v>
      </c>
      <c r="F339" s="521"/>
      <c r="G339" s="522"/>
      <c r="H339" s="271">
        <f t="shared" si="5"/>
        <v>0</v>
      </c>
    </row>
    <row r="340" spans="1:8" s="523" customFormat="1" ht="14.5">
      <c r="A340" s="519">
        <v>349</v>
      </c>
      <c r="B340" s="519" t="s">
        <v>944</v>
      </c>
      <c r="C340" s="530" t="s">
        <v>811</v>
      </c>
      <c r="D340" s="520" t="s">
        <v>170</v>
      </c>
      <c r="E340" s="519">
        <v>0.5</v>
      </c>
      <c r="F340" s="521"/>
      <c r="G340" s="522"/>
      <c r="H340" s="271">
        <f t="shared" si="5"/>
        <v>0</v>
      </c>
    </row>
    <row r="341" spans="1:8" s="523" customFormat="1" ht="14.5">
      <c r="A341" s="519">
        <v>350</v>
      </c>
      <c r="B341" s="519" t="s">
        <v>944</v>
      </c>
      <c r="C341" s="530" t="s">
        <v>951</v>
      </c>
      <c r="D341" s="520" t="s">
        <v>170</v>
      </c>
      <c r="E341" s="519">
        <v>0.5</v>
      </c>
      <c r="F341" s="521"/>
      <c r="G341" s="522"/>
      <c r="H341" s="271">
        <f t="shared" si="5"/>
        <v>0</v>
      </c>
    </row>
    <row r="342" spans="1:8" s="523" customFormat="1" ht="30" customHeight="1">
      <c r="A342" s="519">
        <v>351</v>
      </c>
      <c r="B342" s="519" t="s">
        <v>944</v>
      </c>
      <c r="C342" s="530" t="s">
        <v>952</v>
      </c>
      <c r="D342" s="520" t="s">
        <v>170</v>
      </c>
      <c r="E342" s="519">
        <v>0.5</v>
      </c>
      <c r="F342" s="521"/>
      <c r="G342" s="522"/>
      <c r="H342" s="271">
        <f t="shared" si="5"/>
        <v>0</v>
      </c>
    </row>
    <row r="343" spans="1:8" s="523" customFormat="1">
      <c r="A343" s="519">
        <v>352</v>
      </c>
      <c r="B343" s="519" t="s">
        <v>944</v>
      </c>
      <c r="C343" s="519" t="s">
        <v>953</v>
      </c>
      <c r="D343" s="520" t="s">
        <v>170</v>
      </c>
      <c r="E343" s="519">
        <v>0.5</v>
      </c>
      <c r="F343" s="521"/>
      <c r="G343" s="522"/>
      <c r="H343" s="271">
        <f t="shared" si="5"/>
        <v>0</v>
      </c>
    </row>
    <row r="344" spans="1:8" s="523" customFormat="1">
      <c r="A344" s="519">
        <v>353</v>
      </c>
      <c r="B344" s="519" t="s">
        <v>944</v>
      </c>
      <c r="C344" s="519" t="s">
        <v>954</v>
      </c>
      <c r="D344" s="520" t="s">
        <v>170</v>
      </c>
      <c r="E344" s="519">
        <v>0.2</v>
      </c>
      <c r="F344" s="521"/>
      <c r="G344" s="522"/>
      <c r="H344" s="271">
        <f t="shared" si="5"/>
        <v>0</v>
      </c>
    </row>
    <row r="345" spans="1:8" s="523" customFormat="1" ht="31.9" customHeight="1">
      <c r="A345" s="519">
        <v>354</v>
      </c>
      <c r="B345" s="519" t="s">
        <v>944</v>
      </c>
      <c r="C345" s="519" t="s">
        <v>955</v>
      </c>
      <c r="D345" s="520" t="s">
        <v>170</v>
      </c>
      <c r="E345" s="519">
        <v>0.2</v>
      </c>
      <c r="F345" s="521"/>
      <c r="G345" s="522"/>
      <c r="H345" s="271">
        <f t="shared" si="5"/>
        <v>0</v>
      </c>
    </row>
    <row r="346" spans="1:8" s="523" customFormat="1">
      <c r="A346" s="519">
        <v>355</v>
      </c>
      <c r="B346" s="519" t="s">
        <v>944</v>
      </c>
      <c r="C346" s="519" t="s">
        <v>956</v>
      </c>
      <c r="D346" s="520" t="s">
        <v>170</v>
      </c>
      <c r="E346" s="519">
        <v>0.2</v>
      </c>
      <c r="F346" s="521"/>
      <c r="G346" s="522"/>
      <c r="H346" s="271">
        <f t="shared" si="5"/>
        <v>0</v>
      </c>
    </row>
    <row r="347" spans="1:8" s="523" customFormat="1">
      <c r="A347" s="519">
        <v>356</v>
      </c>
      <c r="B347" s="519" t="s">
        <v>944</v>
      </c>
      <c r="C347" s="519" t="s">
        <v>957</v>
      </c>
      <c r="D347" s="520" t="s">
        <v>170</v>
      </c>
      <c r="E347" s="519">
        <v>0.2</v>
      </c>
      <c r="F347" s="521"/>
      <c r="G347" s="522"/>
      <c r="H347" s="271">
        <f t="shared" si="5"/>
        <v>0</v>
      </c>
    </row>
    <row r="348" spans="1:8" s="523" customFormat="1">
      <c r="A348" s="519">
        <v>357</v>
      </c>
      <c r="B348" s="519" t="s">
        <v>944</v>
      </c>
      <c r="C348" s="519" t="s">
        <v>958</v>
      </c>
      <c r="D348" s="520" t="s">
        <v>170</v>
      </c>
      <c r="E348" s="519">
        <v>0.2</v>
      </c>
      <c r="F348" s="521"/>
      <c r="G348" s="522"/>
      <c r="H348" s="271">
        <f t="shared" si="5"/>
        <v>0</v>
      </c>
    </row>
    <row r="349" spans="1:8" s="523" customFormat="1">
      <c r="A349" s="519">
        <v>358</v>
      </c>
      <c r="B349" s="519" t="s">
        <v>668</v>
      </c>
      <c r="C349" s="519" t="s">
        <v>959</v>
      </c>
      <c r="D349" s="520" t="s">
        <v>170</v>
      </c>
      <c r="E349" s="519">
        <v>0.01</v>
      </c>
      <c r="F349" s="521"/>
      <c r="G349" s="522"/>
      <c r="H349" s="271">
        <f t="shared" si="5"/>
        <v>0</v>
      </c>
    </row>
    <row r="350" spans="1:8" s="523" customFormat="1">
      <c r="A350" s="519">
        <v>359</v>
      </c>
      <c r="B350" s="519" t="s">
        <v>668</v>
      </c>
      <c r="C350" s="520" t="s">
        <v>960</v>
      </c>
      <c r="D350" s="520" t="s">
        <v>170</v>
      </c>
      <c r="E350" s="519">
        <v>1.01</v>
      </c>
      <c r="F350" s="521"/>
      <c r="G350" s="522"/>
      <c r="H350" s="271">
        <f t="shared" si="5"/>
        <v>0</v>
      </c>
    </row>
    <row r="351" spans="1:8" s="523" customFormat="1">
      <c r="A351" s="519">
        <v>360</v>
      </c>
      <c r="B351" s="519" t="s">
        <v>668</v>
      </c>
      <c r="C351" s="520" t="s">
        <v>961</v>
      </c>
      <c r="D351" s="520" t="s">
        <v>170</v>
      </c>
      <c r="E351" s="519">
        <v>0.01</v>
      </c>
      <c r="F351" s="521"/>
      <c r="G351" s="522"/>
      <c r="H351" s="271">
        <f t="shared" si="5"/>
        <v>0</v>
      </c>
    </row>
    <row r="352" spans="1:8" s="523" customFormat="1">
      <c r="A352" s="519">
        <v>361</v>
      </c>
      <c r="B352" s="519" t="s">
        <v>591</v>
      </c>
      <c r="C352" s="519" t="s">
        <v>962</v>
      </c>
      <c r="D352" s="519" t="s">
        <v>170</v>
      </c>
      <c r="E352" s="519">
        <v>38.5</v>
      </c>
      <c r="F352" s="521"/>
      <c r="G352" s="522"/>
      <c r="H352" s="271">
        <f t="shared" si="5"/>
        <v>0</v>
      </c>
    </row>
    <row r="353" spans="1:8" s="523" customFormat="1">
      <c r="A353" s="519">
        <v>381</v>
      </c>
      <c r="B353" s="519" t="s">
        <v>668</v>
      </c>
      <c r="C353" s="524" t="s">
        <v>963</v>
      </c>
      <c r="D353" s="520" t="s">
        <v>170</v>
      </c>
      <c r="E353" s="519">
        <v>3</v>
      </c>
      <c r="F353" s="521"/>
      <c r="G353" s="522"/>
      <c r="H353" s="271">
        <f t="shared" si="5"/>
        <v>0</v>
      </c>
    </row>
    <row r="354" spans="1:8" s="523" customFormat="1">
      <c r="A354" s="519">
        <v>382</v>
      </c>
      <c r="B354" s="519" t="s">
        <v>964</v>
      </c>
      <c r="C354" s="531" t="s">
        <v>965</v>
      </c>
      <c r="D354" s="520" t="s">
        <v>170</v>
      </c>
      <c r="E354" s="519">
        <v>0.2</v>
      </c>
      <c r="F354" s="521"/>
      <c r="G354" s="522"/>
      <c r="H354" s="271">
        <f t="shared" si="5"/>
        <v>0</v>
      </c>
    </row>
    <row r="355" spans="1:8" s="523" customFormat="1">
      <c r="A355" s="519">
        <v>383</v>
      </c>
      <c r="B355" s="519" t="s">
        <v>964</v>
      </c>
      <c r="C355" s="531" t="s">
        <v>966</v>
      </c>
      <c r="D355" s="520" t="s">
        <v>170</v>
      </c>
      <c r="E355" s="519">
        <v>5</v>
      </c>
      <c r="F355" s="521"/>
      <c r="G355" s="522"/>
      <c r="H355" s="271">
        <f t="shared" si="5"/>
        <v>0</v>
      </c>
    </row>
    <row r="356" spans="1:8" s="523" customFormat="1">
      <c r="A356" s="519">
        <v>384</v>
      </c>
      <c r="B356" s="519" t="s">
        <v>964</v>
      </c>
      <c r="C356" s="531" t="s">
        <v>967</v>
      </c>
      <c r="D356" s="520" t="s">
        <v>170</v>
      </c>
      <c r="E356" s="519">
        <v>0.01</v>
      </c>
      <c r="F356" s="521"/>
      <c r="G356" s="522"/>
      <c r="H356" s="271">
        <f t="shared" si="5"/>
        <v>0</v>
      </c>
    </row>
    <row r="357" spans="1:8" s="523" customFormat="1">
      <c r="A357" s="519">
        <v>385</v>
      </c>
      <c r="B357" s="519" t="s">
        <v>964</v>
      </c>
      <c r="C357" s="531" t="s">
        <v>968</v>
      </c>
      <c r="D357" s="520" t="s">
        <v>170</v>
      </c>
      <c r="E357" s="519">
        <v>0.01</v>
      </c>
      <c r="F357" s="521"/>
      <c r="G357" s="522"/>
      <c r="H357" s="271">
        <f t="shared" si="5"/>
        <v>0</v>
      </c>
    </row>
    <row r="358" spans="1:8" s="523" customFormat="1">
      <c r="A358" s="519">
        <v>386</v>
      </c>
      <c r="B358" s="519" t="s">
        <v>964</v>
      </c>
      <c r="C358" s="531" t="s">
        <v>969</v>
      </c>
      <c r="D358" s="520" t="s">
        <v>170</v>
      </c>
      <c r="E358" s="519">
        <v>2</v>
      </c>
      <c r="F358" s="521"/>
      <c r="G358" s="522"/>
      <c r="H358" s="271">
        <f t="shared" si="5"/>
        <v>0</v>
      </c>
    </row>
    <row r="359" spans="1:8" s="523" customFormat="1">
      <c r="A359" s="519">
        <v>387</v>
      </c>
      <c r="B359" s="519" t="s">
        <v>964</v>
      </c>
      <c r="C359" s="531" t="s">
        <v>970</v>
      </c>
      <c r="D359" s="520" t="s">
        <v>170</v>
      </c>
      <c r="E359" s="519">
        <v>0.5</v>
      </c>
      <c r="F359" s="521"/>
      <c r="G359" s="522"/>
      <c r="H359" s="271">
        <f t="shared" si="5"/>
        <v>0</v>
      </c>
    </row>
    <row r="360" spans="1:8" s="523" customFormat="1">
      <c r="A360" s="519">
        <v>388</v>
      </c>
      <c r="B360" s="519" t="s">
        <v>964</v>
      </c>
      <c r="C360" s="531" t="s">
        <v>971</v>
      </c>
      <c r="D360" s="520" t="s">
        <v>170</v>
      </c>
      <c r="E360" s="519">
        <v>0.5</v>
      </c>
      <c r="F360" s="521"/>
      <c r="G360" s="522"/>
      <c r="H360" s="271">
        <f t="shared" si="5"/>
        <v>0</v>
      </c>
    </row>
    <row r="361" spans="1:8" s="523" customFormat="1">
      <c r="A361" s="519">
        <v>389</v>
      </c>
      <c r="B361" s="519" t="s">
        <v>964</v>
      </c>
      <c r="C361" s="531" t="s">
        <v>972</v>
      </c>
      <c r="D361" s="520" t="s">
        <v>170</v>
      </c>
      <c r="E361" s="519">
        <v>0.5</v>
      </c>
      <c r="F361" s="521"/>
      <c r="G361" s="522"/>
      <c r="H361" s="271">
        <f t="shared" si="5"/>
        <v>0</v>
      </c>
    </row>
    <row r="362" spans="1:8" s="523" customFormat="1">
      <c r="A362" s="519">
        <v>390</v>
      </c>
      <c r="B362" s="519" t="s">
        <v>964</v>
      </c>
      <c r="C362" s="531" t="s">
        <v>973</v>
      </c>
      <c r="D362" s="520" t="s">
        <v>170</v>
      </c>
      <c r="E362" s="519">
        <v>0.5</v>
      </c>
      <c r="F362" s="521"/>
      <c r="G362" s="522"/>
      <c r="H362" s="271">
        <f t="shared" si="5"/>
        <v>0</v>
      </c>
    </row>
    <row r="363" spans="1:8" s="523" customFormat="1">
      <c r="A363" s="519">
        <v>391</v>
      </c>
      <c r="B363" s="519" t="s">
        <v>964</v>
      </c>
      <c r="C363" s="531" t="s">
        <v>974</v>
      </c>
      <c r="D363" s="520" t="s">
        <v>170</v>
      </c>
      <c r="E363" s="519">
        <v>0.5</v>
      </c>
      <c r="F363" s="521"/>
      <c r="G363" s="522"/>
      <c r="H363" s="271">
        <f t="shared" si="5"/>
        <v>0</v>
      </c>
    </row>
    <row r="364" spans="1:8" s="523" customFormat="1" ht="14.5">
      <c r="A364" s="519">
        <v>392</v>
      </c>
      <c r="B364" s="519" t="s">
        <v>944</v>
      </c>
      <c r="C364" s="530" t="s">
        <v>975</v>
      </c>
      <c r="D364" s="520" t="s">
        <v>170</v>
      </c>
      <c r="E364" s="519">
        <v>0.5</v>
      </c>
      <c r="F364" s="521"/>
      <c r="G364" s="522"/>
      <c r="H364" s="271">
        <f t="shared" si="5"/>
        <v>0</v>
      </c>
    </row>
    <row r="365" spans="1:8" s="523" customFormat="1" ht="14.5">
      <c r="A365" s="519">
        <v>393</v>
      </c>
      <c r="B365" s="519" t="s">
        <v>944</v>
      </c>
      <c r="C365" s="530" t="s">
        <v>976</v>
      </c>
      <c r="D365" s="520" t="s">
        <v>170</v>
      </c>
      <c r="E365" s="519">
        <v>0.5</v>
      </c>
      <c r="F365" s="521"/>
      <c r="G365" s="522"/>
      <c r="H365" s="271">
        <f t="shared" si="5"/>
        <v>0</v>
      </c>
    </row>
    <row r="366" spans="1:8" s="523" customFormat="1" ht="14.5">
      <c r="A366" s="519">
        <v>394</v>
      </c>
      <c r="B366" s="519" t="s">
        <v>944</v>
      </c>
      <c r="C366" s="530" t="s">
        <v>977</v>
      </c>
      <c r="D366" s="520" t="s">
        <v>170</v>
      </c>
      <c r="E366" s="519">
        <v>0.5</v>
      </c>
      <c r="F366" s="521"/>
      <c r="G366" s="522"/>
      <c r="H366" s="271">
        <f t="shared" si="5"/>
        <v>0</v>
      </c>
    </row>
    <row r="367" spans="1:8" s="523" customFormat="1" ht="14.5">
      <c r="A367" s="519">
        <v>395</v>
      </c>
      <c r="B367" s="519" t="s">
        <v>944</v>
      </c>
      <c r="C367" s="530" t="s">
        <v>978</v>
      </c>
      <c r="D367" s="520" t="s">
        <v>170</v>
      </c>
      <c r="E367" s="519">
        <v>0.5</v>
      </c>
      <c r="F367" s="521"/>
      <c r="G367" s="522"/>
      <c r="H367" s="271">
        <f t="shared" si="5"/>
        <v>0</v>
      </c>
    </row>
    <row r="368" spans="1:8" s="523" customFormat="1" ht="14.5">
      <c r="A368" s="519">
        <v>397</v>
      </c>
      <c r="B368" s="519" t="s">
        <v>964</v>
      </c>
      <c r="C368" s="532" t="s">
        <v>979</v>
      </c>
      <c r="D368" s="520" t="s">
        <v>170</v>
      </c>
      <c r="E368" s="519">
        <v>0.5</v>
      </c>
      <c r="F368" s="521"/>
      <c r="G368" s="522"/>
      <c r="H368" s="271">
        <f t="shared" si="5"/>
        <v>0</v>
      </c>
    </row>
    <row r="369" spans="1:8" s="523" customFormat="1">
      <c r="A369" s="519">
        <v>398</v>
      </c>
      <c r="B369" s="519" t="s">
        <v>608</v>
      </c>
      <c r="C369" s="519" t="s">
        <v>980</v>
      </c>
      <c r="D369" s="520" t="s">
        <v>170</v>
      </c>
      <c r="E369" s="519">
        <v>0.24</v>
      </c>
      <c r="F369" s="521"/>
      <c r="G369" s="522"/>
      <c r="H369" s="271">
        <f t="shared" si="5"/>
        <v>0</v>
      </c>
    </row>
    <row r="370" spans="1:8" s="523" customFormat="1">
      <c r="A370" s="519">
        <v>400</v>
      </c>
      <c r="B370" s="519"/>
      <c r="C370" s="519" t="s">
        <v>981</v>
      </c>
      <c r="D370" s="520" t="s">
        <v>170</v>
      </c>
      <c r="E370" s="519">
        <v>0.1</v>
      </c>
      <c r="F370" s="521"/>
      <c r="G370" s="522"/>
      <c r="H370" s="271">
        <f t="shared" si="5"/>
        <v>0</v>
      </c>
    </row>
    <row r="371" spans="1:8" s="523" customFormat="1">
      <c r="A371" s="519">
        <v>401</v>
      </c>
      <c r="B371" s="519"/>
      <c r="C371" s="519" t="s">
        <v>982</v>
      </c>
      <c r="D371" s="520" t="s">
        <v>170</v>
      </c>
      <c r="E371" s="519">
        <v>0.25</v>
      </c>
      <c r="F371" s="521"/>
      <c r="G371" s="522"/>
      <c r="H371" s="271">
        <f t="shared" si="5"/>
        <v>0</v>
      </c>
    </row>
    <row r="372" spans="1:8" s="523" customFormat="1">
      <c r="A372" s="519">
        <v>402</v>
      </c>
      <c r="B372" s="519" t="s">
        <v>593</v>
      </c>
      <c r="C372" s="519" t="s">
        <v>983</v>
      </c>
      <c r="D372" s="519" t="s">
        <v>595</v>
      </c>
      <c r="E372" s="519">
        <v>1.0309999999999999</v>
      </c>
      <c r="F372" s="522"/>
      <c r="G372" s="522"/>
      <c r="H372" s="271">
        <f t="shared" si="5"/>
        <v>0</v>
      </c>
    </row>
    <row r="373" spans="1:8" s="523" customFormat="1">
      <c r="A373" s="519">
        <v>403</v>
      </c>
      <c r="B373" s="519" t="s">
        <v>593</v>
      </c>
      <c r="C373" s="519" t="s">
        <v>984</v>
      </c>
      <c r="D373" s="519" t="s">
        <v>595</v>
      </c>
      <c r="E373" s="519">
        <v>0.192</v>
      </c>
      <c r="F373" s="522"/>
      <c r="G373" s="522"/>
      <c r="H373" s="271">
        <f t="shared" si="5"/>
        <v>0</v>
      </c>
    </row>
    <row r="374" spans="1:8" s="523" customFormat="1">
      <c r="A374" s="519">
        <v>404</v>
      </c>
      <c r="B374" s="519" t="s">
        <v>593</v>
      </c>
      <c r="C374" s="519" t="s">
        <v>985</v>
      </c>
      <c r="D374" s="519" t="s">
        <v>595</v>
      </c>
      <c r="E374" s="519">
        <v>2.415</v>
      </c>
      <c r="F374" s="522"/>
      <c r="G374" s="522"/>
      <c r="H374" s="271">
        <f t="shared" si="5"/>
        <v>0</v>
      </c>
    </row>
    <row r="375" spans="1:8" s="523" customFormat="1">
      <c r="A375" s="519">
        <v>405</v>
      </c>
      <c r="B375" s="519"/>
      <c r="C375" s="519" t="s">
        <v>986</v>
      </c>
      <c r="D375" s="519" t="s">
        <v>595</v>
      </c>
      <c r="E375" s="519">
        <f>2.07/3</f>
        <v>0.69</v>
      </c>
      <c r="F375" s="522"/>
      <c r="G375" s="522"/>
      <c r="H375" s="271">
        <f t="shared" si="5"/>
        <v>0</v>
      </c>
    </row>
    <row r="376" spans="1:8" s="523" customFormat="1">
      <c r="A376" s="519">
        <v>406</v>
      </c>
      <c r="B376" s="519"/>
      <c r="C376" s="519" t="s">
        <v>987</v>
      </c>
      <c r="D376" s="519" t="s">
        <v>170</v>
      </c>
      <c r="E376" s="519">
        <v>5.8000000000000003E-2</v>
      </c>
      <c r="F376" s="522"/>
      <c r="G376" s="522"/>
      <c r="H376" s="271">
        <f t="shared" si="5"/>
        <v>0</v>
      </c>
    </row>
    <row r="377" spans="1:8" s="523" customFormat="1">
      <c r="A377" s="519">
        <v>407</v>
      </c>
      <c r="B377" s="519"/>
      <c r="C377" s="519" t="s">
        <v>988</v>
      </c>
      <c r="D377" s="519" t="s">
        <v>170</v>
      </c>
      <c r="E377" s="519">
        <v>5.8000000000000003E-2</v>
      </c>
      <c r="F377" s="522"/>
      <c r="G377" s="522"/>
      <c r="H377" s="271">
        <f t="shared" si="5"/>
        <v>0</v>
      </c>
    </row>
    <row r="378" spans="1:8" s="523" customFormat="1" ht="28">
      <c r="A378" s="519">
        <v>408</v>
      </c>
      <c r="B378" s="519" t="s">
        <v>591</v>
      </c>
      <c r="C378" s="524" t="s">
        <v>989</v>
      </c>
      <c r="D378" s="519" t="s">
        <v>170</v>
      </c>
      <c r="E378" s="519">
        <v>7.9</v>
      </c>
      <c r="F378" s="522"/>
      <c r="G378" s="522"/>
      <c r="H378" s="271">
        <f t="shared" si="5"/>
        <v>0</v>
      </c>
    </row>
    <row r="379" spans="1:8" s="523" customFormat="1" ht="28">
      <c r="A379" s="519">
        <v>409</v>
      </c>
      <c r="B379" s="519" t="s">
        <v>591</v>
      </c>
      <c r="C379" s="524" t="s">
        <v>990</v>
      </c>
      <c r="D379" s="519" t="s">
        <v>170</v>
      </c>
      <c r="E379" s="519">
        <v>19</v>
      </c>
      <c r="F379" s="522"/>
      <c r="G379" s="522"/>
      <c r="H379" s="271">
        <f t="shared" si="5"/>
        <v>0</v>
      </c>
    </row>
    <row r="380" spans="1:8" s="523" customFormat="1" ht="28">
      <c r="A380" s="519">
        <v>410</v>
      </c>
      <c r="B380" s="519"/>
      <c r="C380" s="524" t="s">
        <v>991</v>
      </c>
      <c r="D380" s="519" t="s">
        <v>170</v>
      </c>
      <c r="E380" s="519">
        <v>30</v>
      </c>
      <c r="F380" s="522"/>
      <c r="G380" s="522"/>
      <c r="H380" s="271">
        <f t="shared" si="5"/>
        <v>0</v>
      </c>
    </row>
    <row r="381" spans="1:8" s="523" customFormat="1">
      <c r="A381" s="519">
        <v>411</v>
      </c>
      <c r="B381" s="519"/>
      <c r="C381" s="519" t="s">
        <v>992</v>
      </c>
      <c r="D381" s="519" t="s">
        <v>170</v>
      </c>
      <c r="E381" s="519">
        <v>0.03</v>
      </c>
      <c r="F381" s="522"/>
      <c r="G381" s="522"/>
      <c r="H381" s="271">
        <f t="shared" si="5"/>
        <v>0</v>
      </c>
    </row>
    <row r="382" spans="1:8" s="523" customFormat="1" ht="28">
      <c r="A382" s="519">
        <v>412</v>
      </c>
      <c r="B382" s="519"/>
      <c r="C382" s="524" t="s">
        <v>993</v>
      </c>
      <c r="D382" s="519" t="s">
        <v>170</v>
      </c>
      <c r="E382" s="519">
        <v>80</v>
      </c>
      <c r="F382" s="522"/>
      <c r="G382" s="522"/>
      <c r="H382" s="271">
        <f t="shared" si="5"/>
        <v>0</v>
      </c>
    </row>
    <row r="383" spans="1:8" s="523" customFormat="1">
      <c r="A383" s="519">
        <v>413</v>
      </c>
      <c r="B383" s="519" t="s">
        <v>666</v>
      </c>
      <c r="C383" s="519" t="s">
        <v>994</v>
      </c>
      <c r="D383" s="519" t="s">
        <v>358</v>
      </c>
      <c r="E383" s="519">
        <v>0.1</v>
      </c>
      <c r="F383" s="522"/>
      <c r="G383" s="522"/>
      <c r="H383" s="271">
        <f t="shared" si="5"/>
        <v>0</v>
      </c>
    </row>
    <row r="384" spans="1:8" s="523" customFormat="1">
      <c r="A384" s="519">
        <v>414</v>
      </c>
      <c r="B384" s="519" t="s">
        <v>593</v>
      </c>
      <c r="C384" s="519" t="s">
        <v>995</v>
      </c>
      <c r="D384" s="519" t="s">
        <v>595</v>
      </c>
      <c r="E384" s="519">
        <v>0.57999999999999996</v>
      </c>
      <c r="F384" s="522"/>
      <c r="G384" s="522"/>
      <c r="H384" s="271">
        <f t="shared" si="5"/>
        <v>0</v>
      </c>
    </row>
    <row r="385" spans="1:8" s="523" customFormat="1" ht="14.5">
      <c r="A385" s="519">
        <v>415</v>
      </c>
      <c r="B385" s="519" t="s">
        <v>944</v>
      </c>
      <c r="C385" s="530" t="s">
        <v>996</v>
      </c>
      <c r="D385" s="520" t="s">
        <v>170</v>
      </c>
      <c r="E385" s="519">
        <v>0.5</v>
      </c>
      <c r="F385" s="522"/>
      <c r="G385" s="522"/>
      <c r="H385" s="271">
        <f t="shared" si="5"/>
        <v>0</v>
      </c>
    </row>
    <row r="386" spans="1:8" s="523" customFormat="1" ht="14.5">
      <c r="A386" s="519">
        <v>416</v>
      </c>
      <c r="B386" s="519" t="s">
        <v>944</v>
      </c>
      <c r="C386" s="532" t="s">
        <v>997</v>
      </c>
      <c r="D386" s="520" t="s">
        <v>170</v>
      </c>
      <c r="E386" s="519">
        <v>18</v>
      </c>
      <c r="F386" s="522"/>
      <c r="G386" s="522"/>
      <c r="H386" s="271">
        <f t="shared" si="5"/>
        <v>0</v>
      </c>
    </row>
    <row r="387" spans="1:8" s="523" customFormat="1" ht="14.5">
      <c r="A387" s="519">
        <v>417</v>
      </c>
      <c r="B387" s="519" t="s">
        <v>944</v>
      </c>
      <c r="C387" s="532" t="s">
        <v>998</v>
      </c>
      <c r="D387" s="520" t="s">
        <v>170</v>
      </c>
      <c r="E387" s="519">
        <v>0.5</v>
      </c>
      <c r="F387" s="522"/>
      <c r="G387" s="522"/>
      <c r="H387" s="271">
        <f t="shared" si="5"/>
        <v>0</v>
      </c>
    </row>
    <row r="388" spans="1:8" s="523" customFormat="1" ht="14.5">
      <c r="A388" s="519">
        <v>418</v>
      </c>
      <c r="B388" s="519" t="s">
        <v>944</v>
      </c>
      <c r="C388" s="532" t="s">
        <v>999</v>
      </c>
      <c r="D388" s="520" t="s">
        <v>170</v>
      </c>
      <c r="E388" s="519">
        <v>0.4</v>
      </c>
      <c r="F388" s="522"/>
      <c r="G388" s="522"/>
      <c r="H388" s="271">
        <f t="shared" si="5"/>
        <v>0</v>
      </c>
    </row>
    <row r="389" spans="1:8" s="523" customFormat="1" ht="14.5">
      <c r="A389" s="519">
        <v>419</v>
      </c>
      <c r="B389" s="519" t="s">
        <v>944</v>
      </c>
      <c r="C389" s="532" t="s">
        <v>1000</v>
      </c>
      <c r="D389" s="520" t="s">
        <v>170</v>
      </c>
      <c r="E389" s="519">
        <v>1.1000000000000001</v>
      </c>
      <c r="F389" s="522"/>
      <c r="G389" s="522"/>
      <c r="H389" s="271">
        <f t="shared" ref="H389:H436" si="6">+$H$2</f>
        <v>0</v>
      </c>
    </row>
    <row r="390" spans="1:8" s="523" customFormat="1" ht="14.5">
      <c r="A390" s="519">
        <v>420</v>
      </c>
      <c r="B390" s="519" t="s">
        <v>944</v>
      </c>
      <c r="C390" s="532" t="s">
        <v>1001</v>
      </c>
      <c r="D390" s="520" t="s">
        <v>170</v>
      </c>
      <c r="E390" s="519">
        <v>2</v>
      </c>
      <c r="F390" s="522"/>
      <c r="G390" s="522"/>
      <c r="H390" s="271">
        <f t="shared" si="6"/>
        <v>0</v>
      </c>
    </row>
    <row r="391" spans="1:8" s="523" customFormat="1" ht="14.5">
      <c r="A391" s="519">
        <v>421</v>
      </c>
      <c r="B391" s="519" t="s">
        <v>944</v>
      </c>
      <c r="C391" s="532" t="s">
        <v>1002</v>
      </c>
      <c r="D391" s="520" t="s">
        <v>170</v>
      </c>
      <c r="E391" s="519">
        <v>1.3</v>
      </c>
      <c r="F391" s="522"/>
      <c r="G391" s="522"/>
      <c r="H391" s="271">
        <f t="shared" si="6"/>
        <v>0</v>
      </c>
    </row>
    <row r="392" spans="1:8" s="523" customFormat="1" ht="14.5">
      <c r="A392" s="519">
        <v>422</v>
      </c>
      <c r="B392" s="519" t="s">
        <v>944</v>
      </c>
      <c r="C392" s="532" t="s">
        <v>1003</v>
      </c>
      <c r="D392" s="520" t="s">
        <v>170</v>
      </c>
      <c r="E392" s="519">
        <v>0.2</v>
      </c>
      <c r="F392" s="522"/>
      <c r="G392" s="522"/>
      <c r="H392" s="271">
        <f t="shared" si="6"/>
        <v>0</v>
      </c>
    </row>
    <row r="393" spans="1:8" s="523" customFormat="1" ht="14.5">
      <c r="A393" s="519">
        <v>423</v>
      </c>
      <c r="B393" s="519" t="s">
        <v>944</v>
      </c>
      <c r="C393" s="532" t="s">
        <v>1004</v>
      </c>
      <c r="D393" s="520" t="s">
        <v>170</v>
      </c>
      <c r="E393" s="519">
        <v>1.3</v>
      </c>
      <c r="F393" s="522"/>
      <c r="G393" s="522"/>
      <c r="H393" s="271">
        <f t="shared" si="6"/>
        <v>0</v>
      </c>
    </row>
    <row r="394" spans="1:8" s="523" customFormat="1" ht="14.5">
      <c r="A394" s="519">
        <v>424</v>
      </c>
      <c r="B394" s="519" t="s">
        <v>944</v>
      </c>
      <c r="C394" s="532" t="s">
        <v>1005</v>
      </c>
      <c r="D394" s="520" t="s">
        <v>170</v>
      </c>
      <c r="E394" s="519">
        <v>0.3</v>
      </c>
      <c r="F394" s="522"/>
      <c r="G394" s="522"/>
      <c r="H394" s="271">
        <f t="shared" si="6"/>
        <v>0</v>
      </c>
    </row>
    <row r="395" spans="1:8" s="523" customFormat="1" ht="15" customHeight="1">
      <c r="A395" s="519">
        <v>425</v>
      </c>
      <c r="B395" s="519" t="s">
        <v>944</v>
      </c>
      <c r="C395" s="532" t="s">
        <v>1006</v>
      </c>
      <c r="D395" s="520" t="s">
        <v>170</v>
      </c>
      <c r="E395" s="519">
        <v>0.1</v>
      </c>
      <c r="F395" s="522"/>
      <c r="G395" s="522"/>
      <c r="H395" s="271">
        <f t="shared" si="6"/>
        <v>0</v>
      </c>
    </row>
    <row r="396" spans="1:8" s="523" customFormat="1" ht="15" customHeight="1">
      <c r="A396" s="519">
        <v>426</v>
      </c>
      <c r="B396" s="519" t="s">
        <v>944</v>
      </c>
      <c r="C396" s="532" t="s">
        <v>1007</v>
      </c>
      <c r="D396" s="520" t="s">
        <v>170</v>
      </c>
      <c r="E396" s="519">
        <v>0.8</v>
      </c>
      <c r="F396" s="522"/>
      <c r="G396" s="522"/>
      <c r="H396" s="271">
        <f t="shared" si="6"/>
        <v>0</v>
      </c>
    </row>
    <row r="397" spans="1:8" s="523" customFormat="1" ht="15" customHeight="1">
      <c r="A397" s="519">
        <v>427</v>
      </c>
      <c r="B397" s="519" t="s">
        <v>944</v>
      </c>
      <c r="C397" s="532" t="s">
        <v>1008</v>
      </c>
      <c r="D397" s="520" t="s">
        <v>170</v>
      </c>
      <c r="E397" s="519">
        <v>1.8</v>
      </c>
      <c r="F397" s="522"/>
      <c r="G397" s="522"/>
      <c r="H397" s="271">
        <f t="shared" si="6"/>
        <v>0</v>
      </c>
    </row>
    <row r="398" spans="1:8" s="523" customFormat="1" ht="15" customHeight="1">
      <c r="A398" s="519">
        <v>428</v>
      </c>
      <c r="B398" s="519" t="s">
        <v>598</v>
      </c>
      <c r="C398" s="532" t="s">
        <v>1009</v>
      </c>
      <c r="D398" s="520" t="s">
        <v>595</v>
      </c>
      <c r="E398" s="519">
        <f>5.5/3</f>
        <v>1.8333333333333333</v>
      </c>
      <c r="F398" s="522"/>
      <c r="G398" s="522"/>
      <c r="H398" s="271">
        <f t="shared" si="6"/>
        <v>0</v>
      </c>
    </row>
    <row r="399" spans="1:8" s="523" customFormat="1" ht="15" customHeight="1">
      <c r="A399" s="519">
        <v>429</v>
      </c>
      <c r="B399" s="519" t="s">
        <v>598</v>
      </c>
      <c r="C399" s="532" t="s">
        <v>1010</v>
      </c>
      <c r="D399" s="520" t="s">
        <v>595</v>
      </c>
      <c r="E399" s="519">
        <f>0.6/3</f>
        <v>0.19999999999999998</v>
      </c>
      <c r="F399" s="522"/>
      <c r="G399" s="522"/>
      <c r="H399" s="271">
        <f t="shared" si="6"/>
        <v>0</v>
      </c>
    </row>
    <row r="400" spans="1:8" s="523" customFormat="1" ht="15" customHeight="1">
      <c r="A400" s="519">
        <v>430</v>
      </c>
      <c r="B400" s="519" t="s">
        <v>598</v>
      </c>
      <c r="C400" s="532" t="s">
        <v>1011</v>
      </c>
      <c r="D400" s="520" t="s">
        <v>170</v>
      </c>
      <c r="E400" s="519">
        <v>0.06</v>
      </c>
      <c r="F400" s="522"/>
      <c r="G400" s="522"/>
      <c r="H400" s="271">
        <f t="shared" si="6"/>
        <v>0</v>
      </c>
    </row>
    <row r="401" spans="1:8" s="523" customFormat="1" ht="15" customHeight="1">
      <c r="A401" s="519">
        <v>431</v>
      </c>
      <c r="B401" s="519" t="s">
        <v>604</v>
      </c>
      <c r="C401" s="519" t="s">
        <v>1012</v>
      </c>
      <c r="D401" s="520" t="s">
        <v>170</v>
      </c>
      <c r="E401" s="519">
        <v>4.2</v>
      </c>
      <c r="F401" s="521"/>
      <c r="G401" s="522"/>
      <c r="H401" s="271">
        <f t="shared" si="6"/>
        <v>0</v>
      </c>
    </row>
    <row r="402" spans="1:8" s="523" customFormat="1" ht="15" customHeight="1">
      <c r="A402" s="519">
        <v>432</v>
      </c>
      <c r="B402" s="519" t="s">
        <v>608</v>
      </c>
      <c r="C402" s="519" t="s">
        <v>1013</v>
      </c>
      <c r="D402" s="520" t="s">
        <v>170</v>
      </c>
      <c r="E402" s="519">
        <v>1.3</v>
      </c>
      <c r="F402" s="521"/>
      <c r="G402" s="522"/>
      <c r="H402" s="271">
        <f t="shared" si="6"/>
        <v>0</v>
      </c>
    </row>
    <row r="403" spans="1:8" s="523" customFormat="1" ht="15" customHeight="1">
      <c r="A403" s="519">
        <v>433</v>
      </c>
      <c r="B403" s="519" t="s">
        <v>598</v>
      </c>
      <c r="C403" s="519" t="s">
        <v>1014</v>
      </c>
      <c r="D403" s="520" t="s">
        <v>170</v>
      </c>
      <c r="E403" s="519">
        <v>0.2</v>
      </c>
      <c r="F403" s="521"/>
      <c r="G403" s="522"/>
      <c r="H403" s="271">
        <f t="shared" si="6"/>
        <v>0</v>
      </c>
    </row>
    <row r="404" spans="1:8" s="523" customFormat="1" ht="15" customHeight="1">
      <c r="A404" s="519">
        <v>434</v>
      </c>
      <c r="B404" s="519" t="s">
        <v>608</v>
      </c>
      <c r="C404" s="519" t="s">
        <v>1015</v>
      </c>
      <c r="D404" s="520" t="s">
        <v>170</v>
      </c>
      <c r="E404" s="519">
        <v>0.8</v>
      </c>
      <c r="F404" s="521"/>
      <c r="G404" s="522"/>
      <c r="H404" s="271">
        <f t="shared" si="6"/>
        <v>0</v>
      </c>
    </row>
    <row r="405" spans="1:8" s="523" customFormat="1" ht="15" customHeight="1">
      <c r="A405" s="519">
        <v>435</v>
      </c>
      <c r="B405" s="519"/>
      <c r="C405" s="519" t="s">
        <v>1016</v>
      </c>
      <c r="D405" s="520" t="s">
        <v>170</v>
      </c>
      <c r="E405" s="519">
        <v>2.8</v>
      </c>
      <c r="F405" s="521"/>
      <c r="G405" s="522"/>
      <c r="H405" s="271">
        <f t="shared" si="6"/>
        <v>0</v>
      </c>
    </row>
    <row r="406" spans="1:8" s="523" customFormat="1" ht="15" customHeight="1">
      <c r="A406" s="519">
        <v>436</v>
      </c>
      <c r="B406" s="519"/>
      <c r="C406" s="519" t="s">
        <v>1017</v>
      </c>
      <c r="D406" s="520" t="s">
        <v>170</v>
      </c>
      <c r="E406" s="519">
        <v>5.6</v>
      </c>
      <c r="F406" s="521"/>
      <c r="G406" s="522"/>
      <c r="H406" s="271">
        <f t="shared" si="6"/>
        <v>0</v>
      </c>
    </row>
    <row r="407" spans="1:8" s="523" customFormat="1" ht="15" customHeight="1">
      <c r="A407" s="519">
        <v>437</v>
      </c>
      <c r="B407" s="519" t="s">
        <v>692</v>
      </c>
      <c r="C407" s="519" t="s">
        <v>1018</v>
      </c>
      <c r="D407" s="520" t="s">
        <v>1019</v>
      </c>
      <c r="E407" s="519">
        <v>0.5</v>
      </c>
      <c r="F407" s="521"/>
      <c r="G407" s="522"/>
      <c r="H407" s="271">
        <f t="shared" si="6"/>
        <v>0</v>
      </c>
    </row>
    <row r="408" spans="1:8" s="523" customFormat="1" ht="15" customHeight="1">
      <c r="A408" s="519">
        <v>438</v>
      </c>
      <c r="B408" s="519" t="s">
        <v>692</v>
      </c>
      <c r="C408" s="519" t="s">
        <v>1020</v>
      </c>
      <c r="D408" s="520" t="s">
        <v>170</v>
      </c>
      <c r="E408" s="519">
        <v>0.1</v>
      </c>
      <c r="F408" s="521"/>
      <c r="G408" s="522"/>
      <c r="H408" s="271">
        <f t="shared" si="6"/>
        <v>0</v>
      </c>
    </row>
    <row r="409" spans="1:8" s="523" customFormat="1" ht="15" customHeight="1">
      <c r="A409" s="519">
        <v>439</v>
      </c>
      <c r="B409" s="519" t="s">
        <v>692</v>
      </c>
      <c r="C409" s="524" t="s">
        <v>1021</v>
      </c>
      <c r="D409" s="520" t="s">
        <v>707</v>
      </c>
      <c r="E409" s="519">
        <v>0.3</v>
      </c>
      <c r="F409" s="521"/>
      <c r="G409" s="522"/>
      <c r="H409" s="271">
        <f t="shared" si="6"/>
        <v>0</v>
      </c>
    </row>
    <row r="410" spans="1:8" s="523" customFormat="1" ht="15" customHeight="1">
      <c r="A410" s="519">
        <v>440</v>
      </c>
      <c r="B410" s="519" t="s">
        <v>692</v>
      </c>
      <c r="C410" s="524" t="s">
        <v>1022</v>
      </c>
      <c r="D410" s="520" t="s">
        <v>170</v>
      </c>
      <c r="E410" s="519">
        <v>0.1</v>
      </c>
      <c r="F410" s="521"/>
      <c r="G410" s="522"/>
      <c r="H410" s="271">
        <f t="shared" si="6"/>
        <v>0</v>
      </c>
    </row>
    <row r="411" spans="1:8" s="523" customFormat="1" ht="15" customHeight="1">
      <c r="A411" s="519">
        <v>441</v>
      </c>
      <c r="B411" s="519" t="s">
        <v>692</v>
      </c>
      <c r="C411" s="524" t="s">
        <v>1023</v>
      </c>
      <c r="D411" s="520" t="s">
        <v>170</v>
      </c>
      <c r="E411" s="519">
        <v>0.3</v>
      </c>
      <c r="F411" s="521"/>
      <c r="G411" s="522"/>
      <c r="H411" s="271">
        <f t="shared" si="6"/>
        <v>0</v>
      </c>
    </row>
    <row r="412" spans="1:8" s="523" customFormat="1" ht="15" customHeight="1">
      <c r="A412" s="519">
        <v>442</v>
      </c>
      <c r="B412" s="519" t="s">
        <v>692</v>
      </c>
      <c r="C412" s="524" t="s">
        <v>1024</v>
      </c>
      <c r="D412" s="520" t="s">
        <v>170</v>
      </c>
      <c r="E412" s="519">
        <v>0.2</v>
      </c>
      <c r="F412" s="521"/>
      <c r="G412" s="522"/>
      <c r="H412" s="271">
        <f t="shared" si="6"/>
        <v>0</v>
      </c>
    </row>
    <row r="413" spans="1:8" s="523" customFormat="1" ht="15" customHeight="1">
      <c r="A413" s="519">
        <v>443</v>
      </c>
      <c r="B413" s="519" t="s">
        <v>692</v>
      </c>
      <c r="C413" s="524" t="s">
        <v>1025</v>
      </c>
      <c r="D413" s="520" t="s">
        <v>170</v>
      </c>
      <c r="E413" s="519">
        <v>0.05</v>
      </c>
      <c r="F413" s="521"/>
      <c r="G413" s="522"/>
      <c r="H413" s="271">
        <f t="shared" si="6"/>
        <v>0</v>
      </c>
    </row>
    <row r="414" spans="1:8" s="523" customFormat="1" ht="15" customHeight="1">
      <c r="A414" s="519">
        <v>444</v>
      </c>
      <c r="B414" s="519" t="s">
        <v>692</v>
      </c>
      <c r="C414" s="519" t="s">
        <v>1026</v>
      </c>
      <c r="D414" s="520" t="s">
        <v>707</v>
      </c>
      <c r="E414" s="519">
        <v>0.75</v>
      </c>
      <c r="F414" s="521"/>
      <c r="G414" s="522"/>
      <c r="H414" s="271">
        <f t="shared" si="6"/>
        <v>0</v>
      </c>
    </row>
    <row r="415" spans="1:8" s="523" customFormat="1">
      <c r="A415" s="519">
        <v>445</v>
      </c>
      <c r="B415" s="519" t="s">
        <v>692</v>
      </c>
      <c r="C415" s="519" t="s">
        <v>1027</v>
      </c>
      <c r="D415" s="520" t="s">
        <v>170</v>
      </c>
      <c r="E415" s="519">
        <v>7.4999999999999997E-2</v>
      </c>
      <c r="F415" s="521"/>
      <c r="G415" s="522"/>
      <c r="H415" s="271">
        <f t="shared" si="6"/>
        <v>0</v>
      </c>
    </row>
    <row r="416" spans="1:8" s="523" customFormat="1">
      <c r="A416" s="519">
        <v>446</v>
      </c>
      <c r="B416" s="519" t="s">
        <v>692</v>
      </c>
      <c r="C416" s="519" t="s">
        <v>1028</v>
      </c>
      <c r="D416" s="520" t="s">
        <v>170</v>
      </c>
      <c r="E416" s="519">
        <v>7.4999999999999997E-2</v>
      </c>
      <c r="F416" s="521"/>
      <c r="G416" s="522"/>
      <c r="H416" s="271">
        <f t="shared" si="6"/>
        <v>0</v>
      </c>
    </row>
    <row r="417" spans="1:8" s="523" customFormat="1">
      <c r="A417" s="519">
        <v>447</v>
      </c>
      <c r="B417" s="519" t="s">
        <v>692</v>
      </c>
      <c r="C417" s="519" t="s">
        <v>1029</v>
      </c>
      <c r="D417" s="520" t="s">
        <v>170</v>
      </c>
      <c r="E417" s="519">
        <v>0.15</v>
      </c>
      <c r="F417" s="521"/>
      <c r="G417" s="522"/>
      <c r="H417" s="271">
        <f t="shared" si="6"/>
        <v>0</v>
      </c>
    </row>
    <row r="418" spans="1:8" s="523" customFormat="1">
      <c r="A418" s="519">
        <v>448</v>
      </c>
      <c r="B418" s="519" t="s">
        <v>692</v>
      </c>
      <c r="C418" s="519" t="s">
        <v>1030</v>
      </c>
      <c r="D418" s="520" t="s">
        <v>1031</v>
      </c>
      <c r="E418" s="519">
        <f>9.67*0.8</f>
        <v>7.7360000000000007</v>
      </c>
      <c r="F418" s="521"/>
      <c r="G418" s="522"/>
      <c r="H418" s="271">
        <f t="shared" si="6"/>
        <v>0</v>
      </c>
    </row>
    <row r="419" spans="1:8" s="523" customFormat="1">
      <c r="A419" s="519">
        <v>449</v>
      </c>
      <c r="B419" s="519" t="s">
        <v>692</v>
      </c>
      <c r="C419" s="519" t="s">
        <v>1032</v>
      </c>
      <c r="D419" s="520" t="s">
        <v>1031</v>
      </c>
      <c r="E419" s="519">
        <v>0.8</v>
      </c>
      <c r="F419" s="521"/>
      <c r="G419" s="522"/>
      <c r="H419" s="271">
        <f t="shared" si="6"/>
        <v>0</v>
      </c>
    </row>
    <row r="420" spans="1:8" s="523" customFormat="1">
      <c r="A420" s="519">
        <v>450</v>
      </c>
      <c r="B420" s="519" t="s">
        <v>692</v>
      </c>
      <c r="C420" s="519" t="s">
        <v>1033</v>
      </c>
      <c r="D420" s="520" t="s">
        <v>707</v>
      </c>
      <c r="E420" s="519">
        <v>2.68</v>
      </c>
      <c r="F420" s="521"/>
      <c r="G420" s="522"/>
      <c r="H420" s="271">
        <f t="shared" si="6"/>
        <v>0</v>
      </c>
    </row>
    <row r="421" spans="1:8" s="523" customFormat="1">
      <c r="A421" s="519">
        <v>451</v>
      </c>
      <c r="B421" s="519" t="s">
        <v>692</v>
      </c>
      <c r="C421" s="519" t="s">
        <v>1034</v>
      </c>
      <c r="D421" s="520" t="s">
        <v>707</v>
      </c>
      <c r="E421" s="519">
        <v>3.3000000000000002E-2</v>
      </c>
      <c r="F421" s="521"/>
      <c r="G421" s="522"/>
      <c r="H421" s="271">
        <f t="shared" si="6"/>
        <v>0</v>
      </c>
    </row>
    <row r="422" spans="1:8" s="523" customFormat="1">
      <c r="A422" s="519">
        <v>452</v>
      </c>
      <c r="B422" s="519" t="s">
        <v>692</v>
      </c>
      <c r="C422" s="519" t="s">
        <v>1035</v>
      </c>
      <c r="D422" s="520" t="s">
        <v>170</v>
      </c>
      <c r="E422" s="519">
        <v>7.4999999999999997E-2</v>
      </c>
      <c r="F422" s="521"/>
      <c r="G422" s="522"/>
      <c r="H422" s="271">
        <f t="shared" si="6"/>
        <v>0</v>
      </c>
    </row>
    <row r="423" spans="1:8" s="523" customFormat="1">
      <c r="A423" s="519">
        <v>453</v>
      </c>
      <c r="B423" s="519" t="s">
        <v>692</v>
      </c>
      <c r="C423" s="519" t="s">
        <v>1036</v>
      </c>
      <c r="D423" s="520" t="s">
        <v>709</v>
      </c>
      <c r="E423" s="519">
        <v>3.786</v>
      </c>
      <c r="F423" s="521"/>
      <c r="G423" s="522"/>
      <c r="H423" s="271">
        <f t="shared" si="6"/>
        <v>0</v>
      </c>
    </row>
    <row r="424" spans="1:8" s="523" customFormat="1">
      <c r="A424" s="519">
        <v>454</v>
      </c>
      <c r="B424" s="519" t="s">
        <v>692</v>
      </c>
      <c r="C424" s="519" t="s">
        <v>1037</v>
      </c>
      <c r="D424" s="520" t="s">
        <v>814</v>
      </c>
      <c r="E424" s="519">
        <v>4</v>
      </c>
      <c r="F424" s="521"/>
      <c r="G424" s="522"/>
      <c r="H424" s="271">
        <f t="shared" si="6"/>
        <v>0</v>
      </c>
    </row>
    <row r="425" spans="1:8" s="523" customFormat="1">
      <c r="A425" s="519">
        <v>455</v>
      </c>
      <c r="B425" s="519" t="s">
        <v>692</v>
      </c>
      <c r="C425" s="519" t="s">
        <v>1038</v>
      </c>
      <c r="D425" s="520" t="s">
        <v>170</v>
      </c>
      <c r="E425" s="519">
        <v>0.12</v>
      </c>
      <c r="F425" s="521"/>
      <c r="G425" s="522"/>
      <c r="H425" s="271">
        <f t="shared" si="6"/>
        <v>0</v>
      </c>
    </row>
    <row r="426" spans="1:8" s="523" customFormat="1">
      <c r="A426" s="519">
        <v>456</v>
      </c>
      <c r="B426" s="519"/>
      <c r="C426" s="519" t="s">
        <v>1039</v>
      </c>
      <c r="D426" s="520" t="s">
        <v>170</v>
      </c>
      <c r="E426" s="519">
        <v>50</v>
      </c>
      <c r="F426" s="521"/>
      <c r="G426" s="522"/>
      <c r="H426" s="271">
        <f t="shared" si="6"/>
        <v>0</v>
      </c>
    </row>
    <row r="427" spans="1:8" s="523" customFormat="1">
      <c r="A427" s="519">
        <v>457</v>
      </c>
      <c r="B427" s="519"/>
      <c r="C427" s="519" t="s">
        <v>1040</v>
      </c>
      <c r="D427" s="520" t="s">
        <v>170</v>
      </c>
      <c r="E427" s="519">
        <v>6.6000000000000003E-2</v>
      </c>
      <c r="F427" s="521"/>
      <c r="G427" s="522"/>
      <c r="H427" s="271">
        <f t="shared" si="6"/>
        <v>0</v>
      </c>
    </row>
    <row r="428" spans="1:8" s="523" customFormat="1">
      <c r="A428" s="519">
        <v>458</v>
      </c>
      <c r="B428" s="519"/>
      <c r="C428" s="524" t="s">
        <v>1041</v>
      </c>
      <c r="D428" s="520" t="s">
        <v>170</v>
      </c>
      <c r="E428" s="519">
        <v>3</v>
      </c>
      <c r="F428" s="521"/>
      <c r="G428" s="522"/>
      <c r="H428" s="271">
        <f t="shared" si="6"/>
        <v>0</v>
      </c>
    </row>
    <row r="429" spans="1:8" s="523" customFormat="1">
      <c r="A429" s="519">
        <v>459</v>
      </c>
      <c r="B429" s="519" t="s">
        <v>593</v>
      </c>
      <c r="C429" s="519" t="s">
        <v>1042</v>
      </c>
      <c r="D429" s="520" t="s">
        <v>707</v>
      </c>
      <c r="E429" s="519">
        <v>1.5979999999999999</v>
      </c>
      <c r="F429" s="521"/>
      <c r="G429" s="522"/>
      <c r="H429" s="271">
        <f t="shared" si="6"/>
        <v>0</v>
      </c>
    </row>
    <row r="430" spans="1:8" s="523" customFormat="1">
      <c r="A430" s="519">
        <v>460</v>
      </c>
      <c r="B430" s="519" t="s">
        <v>593</v>
      </c>
      <c r="C430" s="519" t="s">
        <v>1043</v>
      </c>
      <c r="D430" s="520" t="s">
        <v>707</v>
      </c>
      <c r="E430" s="519">
        <v>2.5820000000000003</v>
      </c>
      <c r="F430" s="521"/>
      <c r="G430" s="522"/>
      <c r="H430" s="271">
        <f t="shared" si="6"/>
        <v>0</v>
      </c>
    </row>
    <row r="431" spans="1:8" s="523" customFormat="1">
      <c r="A431" s="519">
        <v>461</v>
      </c>
      <c r="B431" s="519" t="s">
        <v>591</v>
      </c>
      <c r="C431" s="520" t="s">
        <v>1044</v>
      </c>
      <c r="D431" s="520" t="s">
        <v>170</v>
      </c>
      <c r="E431" s="519">
        <v>13.5</v>
      </c>
      <c r="F431" s="521"/>
      <c r="G431" s="522"/>
      <c r="H431" s="271">
        <f t="shared" si="6"/>
        <v>0</v>
      </c>
    </row>
    <row r="432" spans="1:8" s="523" customFormat="1">
      <c r="A432" s="519">
        <v>462</v>
      </c>
      <c r="B432" s="519" t="s">
        <v>591</v>
      </c>
      <c r="C432" s="520" t="s">
        <v>1045</v>
      </c>
      <c r="D432" s="520" t="s">
        <v>170</v>
      </c>
      <c r="E432" s="519">
        <v>25</v>
      </c>
      <c r="F432" s="521"/>
      <c r="G432" s="522"/>
      <c r="H432" s="271">
        <f t="shared" si="6"/>
        <v>0</v>
      </c>
    </row>
    <row r="433" spans="1:8" s="523" customFormat="1">
      <c r="A433" s="519">
        <v>463</v>
      </c>
      <c r="B433" s="519"/>
      <c r="C433" s="519" t="s">
        <v>1046</v>
      </c>
      <c r="D433" s="520" t="s">
        <v>170</v>
      </c>
      <c r="E433" s="519">
        <v>0.1</v>
      </c>
      <c r="F433" s="521"/>
      <c r="G433" s="522"/>
      <c r="H433" s="271">
        <f t="shared" si="6"/>
        <v>0</v>
      </c>
    </row>
    <row r="434" spans="1:8" s="523" customFormat="1">
      <c r="A434" s="519">
        <v>464</v>
      </c>
      <c r="B434" s="519"/>
      <c r="C434" s="519" t="s">
        <v>1047</v>
      </c>
      <c r="D434" s="520" t="s">
        <v>170</v>
      </c>
      <c r="E434" s="519">
        <v>0.1</v>
      </c>
      <c r="F434" s="521"/>
      <c r="G434" s="522"/>
      <c r="H434" s="271">
        <f t="shared" si="6"/>
        <v>0</v>
      </c>
    </row>
    <row r="435" spans="1:8" s="523" customFormat="1">
      <c r="A435" s="519">
        <v>465</v>
      </c>
      <c r="B435" s="519"/>
      <c r="C435" s="519" t="s">
        <v>1048</v>
      </c>
      <c r="D435" s="520" t="s">
        <v>170</v>
      </c>
      <c r="E435" s="519">
        <v>50</v>
      </c>
      <c r="F435" s="521"/>
      <c r="G435" s="522"/>
      <c r="H435" s="271">
        <f t="shared" si="6"/>
        <v>0</v>
      </c>
    </row>
    <row r="436" spans="1:8" s="523" customFormat="1">
      <c r="A436" s="519">
        <v>466</v>
      </c>
      <c r="B436" s="519" t="s">
        <v>692</v>
      </c>
      <c r="C436" s="519" t="s">
        <v>1049</v>
      </c>
      <c r="D436" s="519" t="s">
        <v>700</v>
      </c>
      <c r="E436" s="519">
        <v>1</v>
      </c>
      <c r="F436" s="522"/>
      <c r="G436" s="522"/>
      <c r="H436" s="271">
        <f t="shared" si="6"/>
        <v>0</v>
      </c>
    </row>
    <row r="437" spans="1:8" s="523" customFormat="1">
      <c r="A437" s="519"/>
      <c r="B437" s="519"/>
      <c r="C437" s="519"/>
      <c r="D437" s="519"/>
      <c r="E437" s="519"/>
      <c r="F437" s="522"/>
      <c r="G437" s="522"/>
      <c r="H437" s="272"/>
    </row>
    <row r="438" spans="1:8" s="523" customFormat="1">
      <c r="A438" s="519"/>
      <c r="B438" s="519"/>
      <c r="C438" s="519"/>
      <c r="D438" s="519"/>
      <c r="E438" s="519"/>
      <c r="F438" s="522"/>
      <c r="G438" s="522"/>
      <c r="H438" s="272"/>
    </row>
    <row r="439" spans="1:8" s="523" customFormat="1">
      <c r="A439" s="519"/>
      <c r="B439" s="519"/>
      <c r="C439" s="519"/>
      <c r="D439" s="519"/>
      <c r="E439" s="519"/>
      <c r="F439" s="522"/>
      <c r="G439" s="522"/>
      <c r="H439" s="272"/>
    </row>
    <row r="440" spans="1:8" s="523" customFormat="1">
      <c r="A440" s="519"/>
      <c r="B440" s="519"/>
      <c r="C440" s="519"/>
      <c r="D440" s="519"/>
      <c r="E440" s="519"/>
      <c r="F440" s="522"/>
      <c r="G440" s="522"/>
      <c r="H440" s="272"/>
    </row>
    <row r="441" spans="1:8" s="523" customFormat="1">
      <c r="A441" s="519"/>
      <c r="B441" s="519"/>
      <c r="C441" s="519"/>
      <c r="D441" s="519"/>
      <c r="E441" s="519"/>
      <c r="F441" s="522"/>
      <c r="G441" s="522"/>
      <c r="H441" s="272"/>
    </row>
    <row r="442" spans="1:8" s="523" customFormat="1">
      <c r="A442" s="519">
        <v>370</v>
      </c>
      <c r="B442" s="519" t="s">
        <v>692</v>
      </c>
      <c r="C442" s="519" t="s">
        <v>1050</v>
      </c>
      <c r="D442" s="520" t="s">
        <v>378</v>
      </c>
      <c r="E442" s="519">
        <v>1</v>
      </c>
      <c r="F442" s="521"/>
      <c r="G442" s="522"/>
      <c r="H442" s="271">
        <f t="shared" ref="H436:H451" si="7">+$H$2</f>
        <v>0</v>
      </c>
    </row>
    <row r="443" spans="1:8" s="523" customFormat="1">
      <c r="A443" s="519">
        <v>371</v>
      </c>
      <c r="B443" s="519" t="s">
        <v>692</v>
      </c>
      <c r="C443" s="519" t="s">
        <v>1051</v>
      </c>
      <c r="D443" s="520" t="s">
        <v>700</v>
      </c>
      <c r="E443" s="519">
        <v>1</v>
      </c>
      <c r="F443" s="521"/>
      <c r="G443" s="522"/>
      <c r="H443" s="271">
        <v>0</v>
      </c>
    </row>
    <row r="444" spans="1:8" s="523" customFormat="1">
      <c r="A444" s="519">
        <v>372</v>
      </c>
      <c r="B444" s="519" t="s">
        <v>692</v>
      </c>
      <c r="C444" s="519" t="s">
        <v>1052</v>
      </c>
      <c r="D444" s="520" t="s">
        <v>700</v>
      </c>
      <c r="E444" s="519">
        <v>1</v>
      </c>
      <c r="F444" s="521"/>
      <c r="G444" s="522"/>
      <c r="H444" s="271">
        <f t="shared" si="7"/>
        <v>0</v>
      </c>
    </row>
    <row r="445" spans="1:8" s="523" customFormat="1">
      <c r="A445" s="519">
        <v>373</v>
      </c>
      <c r="B445" s="519" t="s">
        <v>692</v>
      </c>
      <c r="C445" s="519" t="s">
        <v>1053</v>
      </c>
      <c r="D445" s="520" t="s">
        <v>1031</v>
      </c>
      <c r="E445" s="519">
        <v>74.849999999999994</v>
      </c>
      <c r="F445" s="521"/>
      <c r="G445" s="522"/>
      <c r="H445" s="271">
        <f t="shared" si="7"/>
        <v>0</v>
      </c>
    </row>
    <row r="446" spans="1:8" s="523" customFormat="1">
      <c r="A446" s="519">
        <v>374</v>
      </c>
      <c r="B446" s="519" t="s">
        <v>692</v>
      </c>
      <c r="C446" s="519" t="s">
        <v>1054</v>
      </c>
      <c r="D446" s="520" t="s">
        <v>1031</v>
      </c>
      <c r="E446" s="519">
        <v>49.87</v>
      </c>
      <c r="F446" s="521"/>
      <c r="G446" s="522"/>
      <c r="H446" s="271">
        <f t="shared" si="7"/>
        <v>0</v>
      </c>
    </row>
    <row r="447" spans="1:8" s="523" customFormat="1">
      <c r="A447" s="519">
        <v>375</v>
      </c>
      <c r="B447" s="519" t="s">
        <v>692</v>
      </c>
      <c r="C447" s="519" t="s">
        <v>1055</v>
      </c>
      <c r="D447" s="519" t="s">
        <v>700</v>
      </c>
      <c r="E447" s="519">
        <v>1</v>
      </c>
      <c r="F447" s="522"/>
      <c r="G447" s="522"/>
      <c r="H447" s="272">
        <f t="shared" si="7"/>
        <v>0</v>
      </c>
    </row>
    <row r="448" spans="1:8" s="523" customFormat="1">
      <c r="A448" s="519">
        <v>376</v>
      </c>
      <c r="B448" s="519" t="s">
        <v>692</v>
      </c>
      <c r="C448" s="519" t="s">
        <v>1056</v>
      </c>
      <c r="D448" s="519" t="s">
        <v>1057</v>
      </c>
      <c r="E448" s="519">
        <v>0.5</v>
      </c>
      <c r="F448" s="522"/>
      <c r="G448" s="522"/>
      <c r="H448" s="272">
        <f t="shared" si="7"/>
        <v>0</v>
      </c>
    </row>
    <row r="449" spans="1:9" s="523" customFormat="1">
      <c r="A449" s="519">
        <v>377</v>
      </c>
      <c r="B449" s="519" t="s">
        <v>692</v>
      </c>
      <c r="C449" s="519" t="s">
        <v>1058</v>
      </c>
      <c r="D449" s="519" t="s">
        <v>1057</v>
      </c>
      <c r="E449" s="519">
        <v>0.1</v>
      </c>
      <c r="F449" s="522"/>
      <c r="G449" s="522"/>
      <c r="H449" s="272">
        <f t="shared" si="7"/>
        <v>0</v>
      </c>
    </row>
    <row r="450" spans="1:9" s="523" customFormat="1">
      <c r="A450" s="519">
        <v>378</v>
      </c>
      <c r="B450" s="519" t="s">
        <v>692</v>
      </c>
      <c r="C450" s="519" t="s">
        <v>1059</v>
      </c>
      <c r="D450" s="519" t="s">
        <v>700</v>
      </c>
      <c r="E450" s="519">
        <v>1</v>
      </c>
      <c r="F450" s="522"/>
      <c r="G450" s="522"/>
      <c r="H450" s="272">
        <f t="shared" si="7"/>
        <v>0</v>
      </c>
    </row>
    <row r="451" spans="1:9" s="523" customFormat="1">
      <c r="A451" s="519">
        <v>379</v>
      </c>
      <c r="B451" s="519" t="s">
        <v>692</v>
      </c>
      <c r="C451" s="519" t="s">
        <v>1060</v>
      </c>
      <c r="D451" s="519" t="s">
        <v>700</v>
      </c>
      <c r="E451" s="519">
        <v>1</v>
      </c>
      <c r="F451" s="522"/>
      <c r="G451" s="522"/>
      <c r="H451" s="272">
        <f t="shared" si="7"/>
        <v>0</v>
      </c>
    </row>
    <row r="452" spans="1:9" s="523" customFormat="1">
      <c r="A452" s="519"/>
      <c r="B452" s="519"/>
      <c r="C452" s="519"/>
      <c r="D452" s="519"/>
      <c r="E452" s="519"/>
      <c r="F452" s="522"/>
      <c r="G452" s="522"/>
      <c r="H452" s="272"/>
    </row>
    <row r="453" spans="1:9" s="523" customFormat="1">
      <c r="A453" s="519">
        <v>396</v>
      </c>
      <c r="B453" s="519" t="s">
        <v>692</v>
      </c>
      <c r="C453" s="524" t="s">
        <v>1061</v>
      </c>
      <c r="D453" s="520" t="s">
        <v>697</v>
      </c>
      <c r="E453" s="519">
        <v>1700</v>
      </c>
      <c r="F453" s="521"/>
      <c r="G453" s="522"/>
      <c r="H453" s="271">
        <v>0.15</v>
      </c>
      <c r="I453" s="523" t="s">
        <v>1062</v>
      </c>
    </row>
    <row r="454" spans="1:9">
      <c r="A454" s="513"/>
      <c r="B454" s="514"/>
      <c r="C454" s="514"/>
      <c r="D454" s="514"/>
      <c r="E454" s="514"/>
      <c r="F454" s="514"/>
      <c r="G454" s="514"/>
      <c r="H454" s="514"/>
    </row>
    <row r="455" spans="1:9">
      <c r="A455" s="514"/>
      <c r="B455" s="514"/>
      <c r="C455" s="514"/>
      <c r="D455" s="514"/>
      <c r="E455" s="514"/>
      <c r="F455" s="514"/>
      <c r="G455" s="514"/>
      <c r="H455" s="514"/>
    </row>
    <row r="456" spans="1:9">
      <c r="A456" s="514"/>
      <c r="B456" s="514"/>
      <c r="C456" s="514"/>
      <c r="D456" s="514"/>
      <c r="E456" s="514"/>
      <c r="F456" s="514"/>
      <c r="G456" s="514"/>
      <c r="H456" s="514"/>
    </row>
    <row r="457" spans="1:9">
      <c r="A457" s="514"/>
      <c r="B457" s="514"/>
      <c r="C457" s="514"/>
      <c r="D457" s="514"/>
      <c r="E457" s="514"/>
      <c r="F457" s="514"/>
      <c r="G457" s="514"/>
      <c r="H457" s="514"/>
    </row>
    <row r="458" spans="1:9">
      <c r="A458" s="514"/>
      <c r="B458" s="514"/>
      <c r="C458" s="514"/>
      <c r="D458" s="514"/>
      <c r="E458" s="514"/>
      <c r="F458" s="514"/>
      <c r="G458" s="514"/>
      <c r="H458" s="514"/>
    </row>
    <row r="459" spans="1:9">
      <c r="A459" s="514"/>
      <c r="B459" s="514"/>
      <c r="C459" s="514"/>
      <c r="D459" s="514"/>
      <c r="E459" s="514"/>
      <c r="F459" s="514"/>
      <c r="G459" s="514"/>
      <c r="H459" s="514"/>
    </row>
    <row r="460" spans="1:9">
      <c r="A460" s="514"/>
      <c r="B460" s="514"/>
      <c r="C460" s="514"/>
      <c r="D460" s="514"/>
      <c r="E460" s="514"/>
      <c r="F460" s="514"/>
      <c r="G460" s="514"/>
      <c r="H460" s="514"/>
    </row>
    <row r="461" spans="1:9">
      <c r="A461" s="514"/>
      <c r="B461" s="514"/>
      <c r="C461" s="514"/>
      <c r="D461" s="514"/>
      <c r="E461" s="514"/>
      <c r="F461" s="514"/>
      <c r="G461" s="514"/>
      <c r="H461" s="514"/>
    </row>
    <row r="462" spans="1:9">
      <c r="A462" s="514"/>
      <c r="B462" s="514"/>
      <c r="C462" s="514"/>
      <c r="D462" s="514"/>
      <c r="E462" s="514"/>
      <c r="F462" s="514"/>
      <c r="G462" s="514"/>
      <c r="H462" s="514"/>
    </row>
    <row r="463" spans="1:9">
      <c r="A463" s="514"/>
      <c r="B463" s="514"/>
      <c r="C463" s="514"/>
      <c r="D463" s="514"/>
      <c r="E463" s="514"/>
      <c r="F463" s="514"/>
      <c r="G463" s="514"/>
      <c r="H463" s="514"/>
    </row>
    <row r="464" spans="1:9">
      <c r="A464" s="514"/>
      <c r="B464" s="514"/>
      <c r="C464" s="514"/>
      <c r="D464" s="514"/>
      <c r="E464" s="514"/>
      <c r="F464" s="514"/>
      <c r="G464" s="514"/>
      <c r="H464" s="514"/>
    </row>
    <row r="465" spans="1:8">
      <c r="A465" s="514"/>
      <c r="B465" s="514"/>
      <c r="C465" s="514"/>
      <c r="D465" s="514"/>
      <c r="E465" s="514"/>
      <c r="F465" s="514"/>
      <c r="G465" s="514"/>
      <c r="H465" s="514"/>
    </row>
    <row r="466" spans="1:8">
      <c r="A466" s="514"/>
      <c r="B466" s="514"/>
      <c r="C466" s="514"/>
      <c r="D466" s="514"/>
      <c r="E466" s="514"/>
      <c r="F466" s="514"/>
      <c r="G466" s="514"/>
      <c r="H466" s="514"/>
    </row>
    <row r="467" spans="1:8">
      <c r="A467" s="514"/>
      <c r="B467" s="514"/>
      <c r="C467" s="514"/>
      <c r="D467" s="514"/>
      <c r="E467" s="514"/>
      <c r="F467" s="514"/>
      <c r="G467" s="514"/>
      <c r="H467" s="514"/>
    </row>
    <row r="468" spans="1:8">
      <c r="A468" s="514"/>
      <c r="B468" s="514"/>
      <c r="C468" s="514"/>
      <c r="D468" s="514"/>
      <c r="E468" s="514"/>
      <c r="F468" s="514"/>
      <c r="G468" s="514"/>
      <c r="H468" s="514"/>
    </row>
    <row r="469" spans="1:8">
      <c r="A469" s="514"/>
      <c r="B469" s="514"/>
      <c r="C469" s="514"/>
      <c r="D469" s="514"/>
      <c r="E469" s="514"/>
      <c r="F469" s="514"/>
      <c r="G469" s="514"/>
      <c r="H469" s="514"/>
    </row>
    <row r="470" spans="1:8">
      <c r="A470" s="514"/>
      <c r="B470" s="514"/>
      <c r="C470" s="514"/>
      <c r="D470" s="514"/>
      <c r="E470" s="514"/>
      <c r="F470" s="514"/>
      <c r="G470" s="514"/>
      <c r="H470" s="514"/>
    </row>
    <row r="471" spans="1:8">
      <c r="A471" s="514"/>
      <c r="B471" s="514"/>
      <c r="C471" s="514"/>
      <c r="D471" s="514"/>
      <c r="E471" s="514"/>
      <c r="F471" s="514"/>
      <c r="G471" s="514"/>
      <c r="H471" s="514"/>
    </row>
    <row r="472" spans="1:8">
      <c r="A472" s="514"/>
      <c r="B472" s="514"/>
      <c r="C472" s="514"/>
      <c r="D472" s="514"/>
      <c r="E472" s="514"/>
      <c r="F472" s="514"/>
      <c r="G472" s="514"/>
      <c r="H472" s="514"/>
    </row>
    <row r="473" spans="1:8">
      <c r="A473" s="514"/>
      <c r="B473" s="514"/>
      <c r="C473" s="514"/>
      <c r="D473" s="514"/>
      <c r="E473" s="514"/>
      <c r="F473" s="514"/>
      <c r="G473" s="514"/>
      <c r="H473" s="514"/>
    </row>
  </sheetData>
  <mergeCells count="3">
    <mergeCell ref="A1:H1"/>
    <mergeCell ref="A3:H3"/>
    <mergeCell ref="A454:H473"/>
  </mergeCells>
  <conditionalFormatting sqref="C364">
    <cfRule type="duplicateValues" dxfId="5" priority="1"/>
    <cfRule type="duplicateValues" dxfId="4" priority="2"/>
    <cfRule type="duplicateValues" dxfId="3" priority="3"/>
  </conditionalFormatting>
  <conditionalFormatting sqref="C385:C400">
    <cfRule type="duplicateValues" dxfId="2" priority="4"/>
    <cfRule type="duplicateValues" dxfId="1" priority="5"/>
    <cfRule type="duplicateValues" dxfId="0" priority="6"/>
  </conditionalFormatting>
  <pageMargins left="0.32" right="0.19" top="0.52" bottom="0.43" header="0.31496062992125984" footer="0.31496062992125984"/>
  <pageSetup scale="39" fitToHeight="4"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7C7EF-B231-4BBD-8260-8C3CB46EF6BE}">
  <sheetPr>
    <tabColor theme="5" tint="0.79998168889431442"/>
    <pageSetUpPr fitToPage="1"/>
  </sheetPr>
  <dimension ref="A1:F8"/>
  <sheetViews>
    <sheetView view="pageBreakPreview" zoomScaleNormal="100" zoomScaleSheetLayoutView="100" workbookViewId="0">
      <selection activeCell="E4" sqref="E4"/>
    </sheetView>
  </sheetViews>
  <sheetFormatPr baseColWidth="10" defaultColWidth="11.453125" defaultRowHeight="12.5"/>
  <cols>
    <col min="1" max="1" width="11.54296875" customWidth="1"/>
    <col min="2" max="2" width="11.54296875" style="258"/>
    <col min="3" max="4" width="13.7265625" customWidth="1"/>
    <col min="5" max="5" width="17.54296875" customWidth="1"/>
    <col min="6" max="6" width="32" customWidth="1"/>
  </cols>
  <sheetData>
    <row r="1" spans="1:6">
      <c r="A1" s="206"/>
      <c r="B1" s="266"/>
      <c r="C1" s="515" t="s">
        <v>1063</v>
      </c>
      <c r="D1" s="516"/>
      <c r="E1" s="517" t="s">
        <v>1064</v>
      </c>
      <c r="F1" s="517"/>
    </row>
    <row r="2" spans="1:6">
      <c r="A2" s="206"/>
      <c r="B2" s="266"/>
      <c r="C2" s="212" t="s">
        <v>1065</v>
      </c>
      <c r="D2" s="213" t="s">
        <v>1066</v>
      </c>
      <c r="E2" s="212" t="s">
        <v>1067</v>
      </c>
      <c r="F2" s="212" t="s">
        <v>7</v>
      </c>
    </row>
    <row r="3" spans="1:6" ht="13">
      <c r="A3" s="215" t="s">
        <v>1068</v>
      </c>
      <c r="B3" s="267" t="s">
        <v>1069</v>
      </c>
      <c r="C3" s="207">
        <f>3*'PRESUPUESTO GENERAL SISFV'!D6</f>
        <v>2265</v>
      </c>
      <c r="D3" s="208">
        <f>+C3</f>
        <v>2265</v>
      </c>
      <c r="E3" s="209">
        <f>+'1.2'!F8</f>
        <v>0</v>
      </c>
      <c r="F3" s="210">
        <f>+D3*E3</f>
        <v>0</v>
      </c>
    </row>
    <row r="4" spans="1:6" ht="13">
      <c r="A4" s="215" t="s">
        <v>1070</v>
      </c>
      <c r="B4" s="267" t="s">
        <v>1071</v>
      </c>
      <c r="C4" s="211">
        <f>+'PRESUPUESTO GENERAL SISFV'!D6</f>
        <v>755</v>
      </c>
      <c r="D4" s="208">
        <f t="shared" ref="D4:D6" si="0">+C4</f>
        <v>755</v>
      </c>
      <c r="E4" s="209">
        <f>+'1.8'!F8</f>
        <v>0</v>
      </c>
      <c r="F4" s="210">
        <f>+D4*E4</f>
        <v>0</v>
      </c>
    </row>
    <row r="5" spans="1:6" ht="13">
      <c r="A5" s="215" t="s">
        <v>1072</v>
      </c>
      <c r="B5" s="267"/>
      <c r="C5" s="211">
        <f>+'PRESUPUESTO GENERAL SISFV'!D6</f>
        <v>755</v>
      </c>
      <c r="D5" s="208">
        <f t="shared" si="0"/>
        <v>755</v>
      </c>
      <c r="E5" s="209">
        <f>+'1.7'!F8</f>
        <v>0</v>
      </c>
      <c r="F5" s="210">
        <f>+D5*E5</f>
        <v>0</v>
      </c>
    </row>
    <row r="6" spans="1:6" ht="13">
      <c r="A6" s="215" t="s">
        <v>134</v>
      </c>
      <c r="B6" s="267" t="s">
        <v>1073</v>
      </c>
      <c r="C6" s="211">
        <f>+'PRESUPUESTO GENERAL SISFV'!D7</f>
        <v>741</v>
      </c>
      <c r="D6" s="208">
        <f t="shared" si="0"/>
        <v>741</v>
      </c>
      <c r="E6" s="209">
        <f>+'1.9'!F8</f>
        <v>0</v>
      </c>
      <c r="F6" s="210">
        <f>+D6*E6</f>
        <v>0</v>
      </c>
    </row>
    <row r="7" spans="1:6" ht="13">
      <c r="A7" s="215" t="s">
        <v>134</v>
      </c>
      <c r="B7" s="267" t="s">
        <v>1074</v>
      </c>
      <c r="C7" s="211">
        <f>+'PRESUPUESTO GENERAL SISFV'!D8</f>
        <v>14</v>
      </c>
      <c r="D7" s="208">
        <f t="shared" ref="D7" si="1">+C7</f>
        <v>14</v>
      </c>
      <c r="E7" s="209">
        <f>+'1.10'!F8</f>
        <v>0</v>
      </c>
      <c r="F7" s="210">
        <f>+D7*E7</f>
        <v>0</v>
      </c>
    </row>
    <row r="8" spans="1:6" ht="13">
      <c r="F8" s="214">
        <f>SUM(F3:F7)</f>
        <v>0</v>
      </c>
    </row>
  </sheetData>
  <mergeCells count="2">
    <mergeCell ref="C1:D1"/>
    <mergeCell ref="E1:F1"/>
  </mergeCells>
  <phoneticPr fontId="29" type="noConversion"/>
  <pageMargins left="0.70866141732283472" right="0.70866141732283472" top="0.74803149606299213" bottom="0.74803149606299213" header="0.31496062992125984" footer="0.31496062992125984"/>
  <pageSetup orientation="landscape"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ABDBC-9A4C-4385-968F-E713656EB5A8}">
  <sheetPr>
    <tabColor theme="9" tint="0.59999389629810485"/>
  </sheetPr>
  <dimension ref="A1:P69"/>
  <sheetViews>
    <sheetView view="pageBreakPreview" zoomScale="60" zoomScaleNormal="100" workbookViewId="0">
      <selection activeCell="A68" sqref="A68:XFD69"/>
    </sheetView>
  </sheetViews>
  <sheetFormatPr baseColWidth="10" defaultColWidth="11.453125" defaultRowHeight="12.5"/>
  <cols>
    <col min="1" max="1" width="47.81640625" bestFit="1" customWidth="1"/>
    <col min="2" max="2" width="20" bestFit="1" customWidth="1"/>
    <col min="4" max="4" width="12.81640625" bestFit="1" customWidth="1"/>
    <col min="5" max="16" width="11.453125" style="3"/>
  </cols>
  <sheetData>
    <row r="1" spans="1:7" ht="12.75" customHeight="1">
      <c r="A1" s="388" t="s">
        <v>94</v>
      </c>
      <c r="B1" s="388"/>
      <c r="C1" s="388"/>
      <c r="D1" s="1"/>
      <c r="E1" s="2"/>
      <c r="F1" s="2"/>
      <c r="G1" s="2"/>
    </row>
    <row r="2" spans="1:7">
      <c r="A2" s="388"/>
      <c r="B2" s="388"/>
      <c r="C2" s="388"/>
      <c r="D2" s="1"/>
      <c r="E2" s="2"/>
      <c r="F2" s="2"/>
      <c r="G2" s="2"/>
    </row>
    <row r="4" spans="1:7">
      <c r="A4" s="389" t="s">
        <v>95</v>
      </c>
      <c r="B4" s="389"/>
      <c r="C4" s="389"/>
    </row>
    <row r="5" spans="1:7">
      <c r="A5" s="390" t="s">
        <v>96</v>
      </c>
      <c r="B5" s="390"/>
      <c r="C5" s="390"/>
    </row>
    <row r="6" spans="1:7">
      <c r="A6" s="4" t="s">
        <v>97</v>
      </c>
      <c r="B6" s="5" t="s">
        <v>98</v>
      </c>
      <c r="C6" s="5" t="s">
        <v>99</v>
      </c>
    </row>
    <row r="7" spans="1:7" ht="14.5">
      <c r="A7" s="6" t="s">
        <v>100</v>
      </c>
      <c r="B7" s="6" t="s">
        <v>101</v>
      </c>
      <c r="C7" s="7"/>
    </row>
    <row r="8" spans="1:7" ht="14.5">
      <c r="A8" s="6" t="s">
        <v>102</v>
      </c>
      <c r="B8" s="6" t="s">
        <v>103</v>
      </c>
      <c r="C8" s="7"/>
    </row>
    <row r="11" spans="1:7">
      <c r="A11" s="389" t="s">
        <v>104</v>
      </c>
      <c r="B11" s="389"/>
      <c r="C11" s="389"/>
      <c r="D11" s="389"/>
    </row>
    <row r="12" spans="1:7">
      <c r="A12" s="4" t="s">
        <v>97</v>
      </c>
      <c r="B12" s="5" t="s">
        <v>98</v>
      </c>
      <c r="C12" s="5" t="s">
        <v>99</v>
      </c>
      <c r="D12" s="5" t="s">
        <v>105</v>
      </c>
    </row>
    <row r="13" spans="1:7" ht="14.5">
      <c r="A13" s="6" t="s">
        <v>106</v>
      </c>
      <c r="B13" s="6" t="s">
        <v>107</v>
      </c>
      <c r="C13" s="8"/>
      <c r="D13" s="9" t="e">
        <f>1/C13</f>
        <v>#DIV/0!</v>
      </c>
    </row>
    <row r="14" spans="1:7" ht="14.5">
      <c r="A14" s="6" t="s">
        <v>108</v>
      </c>
      <c r="B14" s="6" t="s">
        <v>107</v>
      </c>
      <c r="C14" s="8"/>
      <c r="D14" s="9" t="e">
        <f>1/C14</f>
        <v>#DIV/0!</v>
      </c>
    </row>
    <row r="15" spans="1:7" ht="14.5">
      <c r="A15" s="6" t="s">
        <v>109</v>
      </c>
      <c r="B15" s="6" t="s">
        <v>107</v>
      </c>
      <c r="C15" s="8"/>
      <c r="D15" s="10" t="e">
        <f t="shared" ref="D15:D23" si="0">1/C15</f>
        <v>#DIV/0!</v>
      </c>
    </row>
    <row r="16" spans="1:7" ht="14.5">
      <c r="A16" s="6" t="s">
        <v>110</v>
      </c>
      <c r="B16" s="6" t="s">
        <v>107</v>
      </c>
      <c r="C16" s="8"/>
      <c r="D16" s="10" t="e">
        <f t="shared" si="0"/>
        <v>#DIV/0!</v>
      </c>
    </row>
    <row r="17" spans="1:16" ht="14.5">
      <c r="A17" s="6" t="s">
        <v>111</v>
      </c>
      <c r="B17" s="6" t="s">
        <v>107</v>
      </c>
      <c r="C17" s="11"/>
      <c r="D17" s="10" t="e">
        <f t="shared" si="0"/>
        <v>#DIV/0!</v>
      </c>
    </row>
    <row r="18" spans="1:16" ht="14.5">
      <c r="A18" s="6" t="s">
        <v>112</v>
      </c>
      <c r="B18" s="6" t="s">
        <v>107</v>
      </c>
      <c r="C18" s="8"/>
      <c r="D18" s="10" t="e">
        <f t="shared" si="0"/>
        <v>#DIV/0!</v>
      </c>
    </row>
    <row r="19" spans="1:16" ht="14.5">
      <c r="A19" s="6" t="s">
        <v>113</v>
      </c>
      <c r="B19" s="6" t="s">
        <v>107</v>
      </c>
      <c r="C19" s="8"/>
      <c r="D19" s="10" t="e">
        <f t="shared" si="0"/>
        <v>#DIV/0!</v>
      </c>
    </row>
    <row r="20" spans="1:16" ht="14.5">
      <c r="A20" s="6" t="s">
        <v>114</v>
      </c>
      <c r="B20" s="6" t="s">
        <v>107</v>
      </c>
      <c r="C20" s="8"/>
      <c r="D20" s="10" t="e">
        <f t="shared" si="0"/>
        <v>#DIV/0!</v>
      </c>
    </row>
    <row r="21" spans="1:16" ht="14.5">
      <c r="A21" s="6" t="s">
        <v>115</v>
      </c>
      <c r="B21" s="6" t="s">
        <v>107</v>
      </c>
      <c r="C21" s="8"/>
      <c r="D21" s="10" t="e">
        <f t="shared" si="0"/>
        <v>#DIV/0!</v>
      </c>
    </row>
    <row r="22" spans="1:16" ht="14.5">
      <c r="A22" s="6" t="s">
        <v>116</v>
      </c>
      <c r="B22" s="6" t="s">
        <v>107</v>
      </c>
      <c r="C22" s="8"/>
      <c r="D22" s="10" t="e">
        <f t="shared" si="0"/>
        <v>#DIV/0!</v>
      </c>
    </row>
    <row r="23" spans="1:16" ht="14.5">
      <c r="A23" s="6" t="s">
        <v>117</v>
      </c>
      <c r="B23" s="6" t="s">
        <v>107</v>
      </c>
      <c r="C23" s="8"/>
      <c r="D23" s="10" t="e">
        <f t="shared" si="0"/>
        <v>#DIV/0!</v>
      </c>
    </row>
    <row r="24" spans="1:16">
      <c r="A24" s="390" t="s">
        <v>118</v>
      </c>
      <c r="B24" s="390"/>
      <c r="C24" s="390"/>
      <c r="D24" s="12" t="e">
        <f>ROUND(SUM(D15:D23),2)</f>
        <v>#DIV/0!</v>
      </c>
    </row>
    <row r="27" spans="1:16">
      <c r="A27" s="391" t="s">
        <v>119</v>
      </c>
      <c r="B27" s="392"/>
      <c r="C27" s="392"/>
      <c r="D27" s="392"/>
      <c r="E27" s="392"/>
      <c r="F27" s="392"/>
      <c r="G27" s="392"/>
      <c r="H27" s="392"/>
      <c r="I27" s="392"/>
      <c r="J27" s="392"/>
      <c r="K27" s="392"/>
      <c r="L27" s="392"/>
      <c r="M27" s="392"/>
      <c r="N27" s="392"/>
      <c r="O27" s="392"/>
      <c r="P27" s="392"/>
    </row>
    <row r="28" spans="1:16">
      <c r="A28" s="13"/>
      <c r="B28" s="13"/>
      <c r="C28" s="13"/>
      <c r="D28" s="13"/>
      <c r="E28" s="387" t="s">
        <v>120</v>
      </c>
      <c r="F28" s="387"/>
      <c r="G28" s="387" t="s">
        <v>121</v>
      </c>
      <c r="H28" s="387"/>
      <c r="I28" s="387" t="s">
        <v>122</v>
      </c>
      <c r="J28" s="387"/>
      <c r="K28" s="387" t="s">
        <v>123</v>
      </c>
      <c r="L28" s="387"/>
      <c r="M28" s="387" t="s">
        <v>124</v>
      </c>
      <c r="N28" s="387"/>
      <c r="O28" s="387" t="s">
        <v>125</v>
      </c>
      <c r="P28" s="387"/>
    </row>
    <row r="29" spans="1:16">
      <c r="A29" s="14" t="s">
        <v>97</v>
      </c>
      <c r="B29" s="15" t="s">
        <v>98</v>
      </c>
      <c r="C29" s="15" t="s">
        <v>99</v>
      </c>
      <c r="D29" s="15" t="s">
        <v>105</v>
      </c>
      <c r="E29" s="14" t="s">
        <v>126</v>
      </c>
      <c r="F29" s="14" t="s">
        <v>127</v>
      </c>
      <c r="G29" s="14" t="s">
        <v>126</v>
      </c>
      <c r="H29" s="14" t="s">
        <v>127</v>
      </c>
      <c r="I29" s="14" t="s">
        <v>126</v>
      </c>
      <c r="J29" s="14" t="s">
        <v>127</v>
      </c>
      <c r="K29" s="14" t="s">
        <v>126</v>
      </c>
      <c r="L29" s="14" t="s">
        <v>127</v>
      </c>
      <c r="M29" s="14" t="s">
        <v>126</v>
      </c>
      <c r="N29" s="14" t="s">
        <v>127</v>
      </c>
      <c r="O29" s="14" t="s">
        <v>126</v>
      </c>
      <c r="P29" s="14" t="s">
        <v>127</v>
      </c>
    </row>
    <row r="30" spans="1:16" ht="14.5">
      <c r="A30" s="6" t="s">
        <v>128</v>
      </c>
      <c r="B30" s="6" t="s">
        <v>107</v>
      </c>
      <c r="C30" s="16"/>
      <c r="D30" s="17" t="e">
        <f>1/C30</f>
        <v>#DIV/0!</v>
      </c>
      <c r="E30" s="18"/>
      <c r="F30" s="18" t="e">
        <f>+D30*E30</f>
        <v>#DIV/0!</v>
      </c>
      <c r="G30" s="18"/>
      <c r="H30" s="18"/>
      <c r="I30" s="18"/>
      <c r="J30" s="18"/>
      <c r="K30" s="18"/>
      <c r="L30" s="18"/>
      <c r="M30" s="18"/>
      <c r="N30" s="18"/>
      <c r="O30" s="18"/>
      <c r="P30" s="18"/>
    </row>
    <row r="31" spans="1:16" ht="14.5">
      <c r="A31" s="6" t="s">
        <v>129</v>
      </c>
      <c r="B31" s="6" t="s">
        <v>107</v>
      </c>
      <c r="C31" s="16"/>
      <c r="D31" s="17" t="e">
        <f t="shared" ref="D31:D58" si="1">1/C31</f>
        <v>#DIV/0!</v>
      </c>
      <c r="E31" s="18"/>
      <c r="F31" s="18" t="e">
        <f t="shared" ref="F31:F58" si="2">+D31*E31</f>
        <v>#DIV/0!</v>
      </c>
      <c r="G31" s="18"/>
      <c r="H31" s="18"/>
      <c r="I31" s="18"/>
      <c r="J31" s="18"/>
      <c r="K31" s="18"/>
      <c r="L31" s="18"/>
      <c r="M31" s="18"/>
      <c r="N31" s="18"/>
      <c r="O31" s="18"/>
      <c r="P31" s="18"/>
    </row>
    <row r="32" spans="1:16" ht="14.5">
      <c r="A32" s="6" t="s">
        <v>130</v>
      </c>
      <c r="B32" s="6" t="s">
        <v>107</v>
      </c>
      <c r="C32" s="16"/>
      <c r="D32" s="17" t="e">
        <f t="shared" si="1"/>
        <v>#DIV/0!</v>
      </c>
      <c r="E32" s="18"/>
      <c r="F32" s="18" t="e">
        <f t="shared" si="2"/>
        <v>#DIV/0!</v>
      </c>
      <c r="G32" s="18"/>
      <c r="H32" s="18"/>
      <c r="I32" s="18"/>
      <c r="J32" s="18"/>
      <c r="K32" s="18"/>
      <c r="L32" s="18"/>
      <c r="M32" s="18"/>
      <c r="N32" s="18"/>
      <c r="O32" s="18"/>
      <c r="P32" s="18"/>
    </row>
    <row r="33" spans="1:16" ht="14.5">
      <c r="A33" s="6" t="s">
        <v>131</v>
      </c>
      <c r="B33" s="6" t="s">
        <v>107</v>
      </c>
      <c r="C33" s="16"/>
      <c r="D33" s="17" t="e">
        <f t="shared" si="1"/>
        <v>#DIV/0!</v>
      </c>
      <c r="E33" s="18"/>
      <c r="F33" s="18" t="e">
        <f t="shared" si="2"/>
        <v>#DIV/0!</v>
      </c>
      <c r="G33" s="18"/>
      <c r="H33" s="18"/>
      <c r="I33" s="18"/>
      <c r="J33" s="18"/>
      <c r="K33" s="18"/>
      <c r="L33" s="18"/>
      <c r="M33" s="18"/>
      <c r="N33" s="18"/>
      <c r="O33" s="18"/>
      <c r="P33" s="18"/>
    </row>
    <row r="34" spans="1:16" ht="14.5">
      <c r="A34" s="6" t="s">
        <v>132</v>
      </c>
      <c r="B34" s="6" t="s">
        <v>107</v>
      </c>
      <c r="C34" s="16"/>
      <c r="D34" s="17" t="e">
        <f t="shared" si="1"/>
        <v>#DIV/0!</v>
      </c>
      <c r="E34" s="18"/>
      <c r="F34" s="18" t="e">
        <f t="shared" si="2"/>
        <v>#DIV/0!</v>
      </c>
      <c r="G34" s="18"/>
      <c r="H34" s="18"/>
      <c r="I34" s="18"/>
      <c r="J34" s="18"/>
      <c r="K34" s="18"/>
      <c r="L34" s="18"/>
      <c r="M34" s="18"/>
      <c r="N34" s="18"/>
      <c r="O34" s="18"/>
      <c r="P34" s="18"/>
    </row>
    <row r="35" spans="1:16" ht="14.5">
      <c r="A35" s="6" t="s">
        <v>133</v>
      </c>
      <c r="B35" s="6" t="s">
        <v>107</v>
      </c>
      <c r="C35" s="16"/>
      <c r="D35" s="17" t="e">
        <f t="shared" si="1"/>
        <v>#DIV/0!</v>
      </c>
      <c r="E35" s="18"/>
      <c r="F35" s="18" t="e">
        <f t="shared" si="2"/>
        <v>#DIV/0!</v>
      </c>
      <c r="G35" s="18"/>
      <c r="H35" s="18"/>
      <c r="I35" s="18"/>
      <c r="J35" s="18"/>
      <c r="K35" s="18"/>
      <c r="L35" s="18"/>
      <c r="M35" s="18"/>
      <c r="N35" s="18"/>
      <c r="O35" s="18"/>
      <c r="P35" s="18"/>
    </row>
    <row r="36" spans="1:16" ht="14.5">
      <c r="A36" s="6" t="s">
        <v>134</v>
      </c>
      <c r="B36" s="6" t="s">
        <v>107</v>
      </c>
      <c r="C36" s="16"/>
      <c r="D36" s="17" t="e">
        <f t="shared" si="1"/>
        <v>#DIV/0!</v>
      </c>
      <c r="E36" s="18"/>
      <c r="F36" s="18" t="e">
        <f t="shared" si="2"/>
        <v>#DIV/0!</v>
      </c>
      <c r="G36" s="18"/>
      <c r="H36" s="18"/>
      <c r="I36" s="18"/>
      <c r="J36" s="18"/>
      <c r="K36" s="18"/>
      <c r="L36" s="18"/>
      <c r="M36" s="18"/>
      <c r="N36" s="18"/>
      <c r="O36" s="18"/>
      <c r="P36" s="18"/>
    </row>
    <row r="37" spans="1:16" ht="14.5">
      <c r="A37" s="6" t="s">
        <v>135</v>
      </c>
      <c r="B37" s="6" t="s">
        <v>107</v>
      </c>
      <c r="C37" s="16"/>
      <c r="D37" s="17" t="e">
        <f t="shared" si="1"/>
        <v>#DIV/0!</v>
      </c>
      <c r="E37" s="18"/>
      <c r="F37" s="18" t="e">
        <f t="shared" si="2"/>
        <v>#DIV/0!</v>
      </c>
      <c r="G37" s="18"/>
      <c r="H37" s="18"/>
      <c r="I37" s="18"/>
      <c r="J37" s="18"/>
      <c r="K37" s="18"/>
      <c r="L37" s="18"/>
      <c r="M37" s="18"/>
      <c r="N37" s="18"/>
      <c r="O37" s="18"/>
      <c r="P37" s="18"/>
    </row>
    <row r="38" spans="1:16" ht="14.5">
      <c r="A38" s="6" t="s">
        <v>136</v>
      </c>
      <c r="B38" s="6" t="s">
        <v>107</v>
      </c>
      <c r="C38" s="16"/>
      <c r="D38" s="17" t="e">
        <f t="shared" si="1"/>
        <v>#DIV/0!</v>
      </c>
      <c r="E38" s="18"/>
      <c r="F38" s="18" t="e">
        <f t="shared" si="2"/>
        <v>#DIV/0!</v>
      </c>
      <c r="G38" s="18"/>
      <c r="H38" s="18"/>
      <c r="I38" s="18"/>
      <c r="J38" s="18"/>
      <c r="K38" s="18"/>
      <c r="L38" s="18"/>
      <c r="M38" s="18"/>
      <c r="N38" s="18"/>
      <c r="O38" s="18"/>
      <c r="P38" s="18"/>
    </row>
    <row r="39" spans="1:16" ht="14.5">
      <c r="A39" s="19" t="s">
        <v>137</v>
      </c>
      <c r="B39" s="6" t="s">
        <v>107</v>
      </c>
      <c r="C39" s="16"/>
      <c r="D39" s="17" t="e">
        <f t="shared" si="1"/>
        <v>#DIV/0!</v>
      </c>
      <c r="E39" s="18"/>
      <c r="F39" s="18" t="e">
        <f t="shared" si="2"/>
        <v>#DIV/0!</v>
      </c>
      <c r="G39" s="18"/>
      <c r="H39" s="18"/>
      <c r="I39" s="18"/>
      <c r="J39" s="18"/>
      <c r="K39" s="18"/>
      <c r="L39" s="18"/>
      <c r="M39" s="18"/>
      <c r="N39" s="18"/>
      <c r="O39" s="18"/>
      <c r="P39" s="18"/>
    </row>
    <row r="40" spans="1:16" ht="14.5">
      <c r="A40" s="6" t="s">
        <v>138</v>
      </c>
      <c r="B40" s="6" t="s">
        <v>139</v>
      </c>
      <c r="C40" s="16"/>
      <c r="D40" s="17" t="e">
        <f t="shared" si="1"/>
        <v>#DIV/0!</v>
      </c>
      <c r="E40" s="18"/>
      <c r="F40" s="18" t="e">
        <f t="shared" si="2"/>
        <v>#DIV/0!</v>
      </c>
      <c r="G40" s="18"/>
      <c r="H40" s="18"/>
      <c r="I40" s="18"/>
      <c r="J40" s="18"/>
      <c r="K40" s="18"/>
      <c r="L40" s="18"/>
      <c r="M40" s="18"/>
      <c r="N40" s="18"/>
      <c r="O40" s="18"/>
      <c r="P40" s="18"/>
    </row>
    <row r="41" spans="1:16" ht="14.5">
      <c r="A41" s="6" t="s">
        <v>140</v>
      </c>
      <c r="B41" s="6" t="s">
        <v>107</v>
      </c>
      <c r="C41" s="16"/>
      <c r="D41" s="17" t="e">
        <f t="shared" si="1"/>
        <v>#DIV/0!</v>
      </c>
      <c r="E41" s="18"/>
      <c r="F41" s="18" t="e">
        <f t="shared" si="2"/>
        <v>#DIV/0!</v>
      </c>
      <c r="G41" s="18"/>
      <c r="H41" s="18"/>
      <c r="I41" s="18"/>
      <c r="J41" s="18"/>
      <c r="K41" s="18"/>
      <c r="L41" s="18"/>
      <c r="M41" s="18"/>
      <c r="N41" s="18"/>
      <c r="O41" s="18"/>
      <c r="P41" s="18"/>
    </row>
    <row r="42" spans="1:16" ht="14.5">
      <c r="A42" s="6" t="s">
        <v>141</v>
      </c>
      <c r="B42" s="6" t="s">
        <v>107</v>
      </c>
      <c r="C42" s="16"/>
      <c r="D42" s="17" t="e">
        <f t="shared" si="1"/>
        <v>#DIV/0!</v>
      </c>
      <c r="E42" s="18"/>
      <c r="F42" s="18" t="e">
        <f t="shared" si="2"/>
        <v>#DIV/0!</v>
      </c>
      <c r="G42" s="18"/>
      <c r="H42" s="18"/>
      <c r="I42" s="18"/>
      <c r="J42" s="18"/>
      <c r="K42" s="18"/>
      <c r="L42" s="18"/>
      <c r="M42" s="18"/>
      <c r="N42" s="18"/>
      <c r="O42" s="18"/>
      <c r="P42" s="18"/>
    </row>
    <row r="43" spans="1:16" ht="14.5">
      <c r="A43" s="6" t="s">
        <v>142</v>
      </c>
      <c r="B43" s="6" t="s">
        <v>107</v>
      </c>
      <c r="C43" s="16"/>
      <c r="D43" s="17" t="e">
        <f t="shared" si="1"/>
        <v>#DIV/0!</v>
      </c>
      <c r="E43" s="18"/>
      <c r="F43" s="18" t="e">
        <f t="shared" si="2"/>
        <v>#DIV/0!</v>
      </c>
      <c r="G43" s="18"/>
      <c r="H43" s="18"/>
      <c r="I43" s="18"/>
      <c r="J43" s="18"/>
      <c r="K43" s="18"/>
      <c r="L43" s="18"/>
      <c r="M43" s="18"/>
      <c r="N43" s="18"/>
      <c r="O43" s="18"/>
      <c r="P43" s="18"/>
    </row>
    <row r="44" spans="1:16" ht="14.5">
      <c r="A44" s="6" t="s">
        <v>143</v>
      </c>
      <c r="B44" s="6" t="s">
        <v>107</v>
      </c>
      <c r="C44" s="16"/>
      <c r="D44" s="17" t="e">
        <f t="shared" si="1"/>
        <v>#DIV/0!</v>
      </c>
      <c r="E44" s="18"/>
      <c r="F44" s="18" t="e">
        <f t="shared" si="2"/>
        <v>#DIV/0!</v>
      </c>
      <c r="G44" s="18"/>
      <c r="H44" s="18"/>
      <c r="I44" s="18"/>
      <c r="J44" s="18"/>
      <c r="K44" s="18"/>
      <c r="L44" s="18"/>
      <c r="M44" s="18"/>
      <c r="N44" s="18"/>
      <c r="O44" s="18"/>
      <c r="P44" s="18"/>
    </row>
    <row r="45" spans="1:16" ht="14.5">
      <c r="A45" s="6" t="s">
        <v>144</v>
      </c>
      <c r="B45" s="6" t="s">
        <v>107</v>
      </c>
      <c r="C45" s="16"/>
      <c r="D45" s="17" t="e">
        <f t="shared" si="1"/>
        <v>#DIV/0!</v>
      </c>
      <c r="E45" s="18"/>
      <c r="F45" s="18" t="e">
        <f t="shared" si="2"/>
        <v>#DIV/0!</v>
      </c>
      <c r="G45" s="18"/>
      <c r="H45" s="18"/>
      <c r="I45" s="18"/>
      <c r="J45" s="18"/>
      <c r="K45" s="18"/>
      <c r="L45" s="18"/>
      <c r="M45" s="18"/>
      <c r="N45" s="18"/>
      <c r="O45" s="18"/>
      <c r="P45" s="18"/>
    </row>
    <row r="46" spans="1:16" ht="14.5">
      <c r="A46" s="6" t="s">
        <v>145</v>
      </c>
      <c r="B46" s="6" t="s">
        <v>107</v>
      </c>
      <c r="C46" s="16"/>
      <c r="D46" s="17" t="e">
        <f t="shared" si="1"/>
        <v>#DIV/0!</v>
      </c>
      <c r="E46" s="18"/>
      <c r="F46" s="18" t="e">
        <f t="shared" si="2"/>
        <v>#DIV/0!</v>
      </c>
      <c r="G46" s="18"/>
      <c r="H46" s="18"/>
      <c r="I46" s="18"/>
      <c r="J46" s="18"/>
      <c r="K46" s="18"/>
      <c r="L46" s="18"/>
      <c r="M46" s="18"/>
      <c r="N46" s="18"/>
      <c r="O46" s="18"/>
      <c r="P46" s="18"/>
    </row>
    <row r="47" spans="1:16" ht="14.5">
      <c r="A47" s="6" t="s">
        <v>146</v>
      </c>
      <c r="B47" s="6" t="s">
        <v>147</v>
      </c>
      <c r="C47" s="16"/>
      <c r="D47" s="17" t="e">
        <f t="shared" si="1"/>
        <v>#DIV/0!</v>
      </c>
      <c r="E47" s="18"/>
      <c r="F47" s="18" t="e">
        <f t="shared" si="2"/>
        <v>#DIV/0!</v>
      </c>
      <c r="G47" s="18"/>
      <c r="H47" s="18"/>
      <c r="I47" s="18"/>
      <c r="J47" s="18"/>
      <c r="K47" s="18"/>
      <c r="L47" s="18"/>
      <c r="M47" s="18"/>
      <c r="N47" s="18"/>
      <c r="O47" s="18"/>
      <c r="P47" s="18"/>
    </row>
    <row r="48" spans="1:16" ht="14.5">
      <c r="A48" s="6" t="s">
        <v>148</v>
      </c>
      <c r="B48" s="6" t="s">
        <v>107</v>
      </c>
      <c r="C48" s="16"/>
      <c r="D48" s="17" t="e">
        <f t="shared" si="1"/>
        <v>#DIV/0!</v>
      </c>
      <c r="E48" s="18"/>
      <c r="F48" s="18" t="e">
        <f t="shared" si="2"/>
        <v>#DIV/0!</v>
      </c>
      <c r="G48" s="18"/>
      <c r="H48" s="18"/>
      <c r="I48" s="18"/>
      <c r="J48" s="18"/>
      <c r="K48" s="18"/>
      <c r="L48" s="18"/>
      <c r="M48" s="18"/>
      <c r="N48" s="18"/>
      <c r="O48" s="18"/>
      <c r="P48" s="18"/>
    </row>
    <row r="49" spans="1:16" ht="14.5">
      <c r="A49" s="6" t="s">
        <v>149</v>
      </c>
      <c r="B49" s="6" t="s">
        <v>107</v>
      </c>
      <c r="C49" s="16"/>
      <c r="D49" s="17" t="e">
        <f t="shared" si="1"/>
        <v>#DIV/0!</v>
      </c>
      <c r="E49" s="18"/>
      <c r="F49" s="18" t="e">
        <f t="shared" si="2"/>
        <v>#DIV/0!</v>
      </c>
      <c r="G49" s="18"/>
      <c r="H49" s="18"/>
      <c r="I49" s="18"/>
      <c r="J49" s="18"/>
      <c r="K49" s="18"/>
      <c r="L49" s="18"/>
      <c r="M49" s="18"/>
      <c r="N49" s="18"/>
      <c r="O49" s="18"/>
      <c r="P49" s="18"/>
    </row>
    <row r="50" spans="1:16" ht="14.5">
      <c r="A50" s="6" t="s">
        <v>150</v>
      </c>
      <c r="B50" s="6" t="s">
        <v>107</v>
      </c>
      <c r="C50" s="16"/>
      <c r="D50" s="17" t="e">
        <f t="shared" si="1"/>
        <v>#DIV/0!</v>
      </c>
      <c r="E50" s="18"/>
      <c r="F50" s="18" t="e">
        <f t="shared" si="2"/>
        <v>#DIV/0!</v>
      </c>
      <c r="G50" s="18"/>
      <c r="H50" s="18"/>
      <c r="I50" s="18"/>
      <c r="J50" s="18"/>
      <c r="K50" s="18"/>
      <c r="L50" s="18"/>
      <c r="M50" s="18"/>
      <c r="N50" s="18"/>
      <c r="O50" s="18"/>
      <c r="P50" s="18"/>
    </row>
    <row r="51" spans="1:16" ht="14.5">
      <c r="A51" s="6" t="s">
        <v>151</v>
      </c>
      <c r="B51" s="6" t="s">
        <v>152</v>
      </c>
      <c r="C51" s="16"/>
      <c r="D51" s="17" t="e">
        <f t="shared" si="1"/>
        <v>#DIV/0!</v>
      </c>
      <c r="E51" s="18"/>
      <c r="F51" s="18" t="e">
        <f t="shared" si="2"/>
        <v>#DIV/0!</v>
      </c>
      <c r="G51" s="18"/>
      <c r="H51" s="18"/>
      <c r="I51" s="18"/>
      <c r="J51" s="18"/>
      <c r="K51" s="18"/>
      <c r="L51" s="18"/>
      <c r="M51" s="18"/>
      <c r="N51" s="18"/>
      <c r="O51" s="18"/>
      <c r="P51" s="18"/>
    </row>
    <row r="52" spans="1:16" ht="14.5">
      <c r="A52" s="6" t="s">
        <v>153</v>
      </c>
      <c r="B52" s="6" t="s">
        <v>147</v>
      </c>
      <c r="C52" s="16"/>
      <c r="D52" s="17" t="e">
        <f t="shared" si="1"/>
        <v>#DIV/0!</v>
      </c>
      <c r="E52" s="18"/>
      <c r="F52" s="18" t="e">
        <f t="shared" si="2"/>
        <v>#DIV/0!</v>
      </c>
      <c r="G52" s="18"/>
      <c r="H52" s="18"/>
      <c r="I52" s="18"/>
      <c r="J52" s="18"/>
      <c r="K52" s="18"/>
      <c r="L52" s="18"/>
      <c r="M52" s="18"/>
      <c r="N52" s="18"/>
      <c r="O52" s="18"/>
      <c r="P52" s="18"/>
    </row>
    <row r="53" spans="1:16" ht="14.5">
      <c r="A53" s="6" t="s">
        <v>154</v>
      </c>
      <c r="B53" s="6" t="s">
        <v>152</v>
      </c>
      <c r="C53" s="16"/>
      <c r="D53" s="17" t="e">
        <f t="shared" si="1"/>
        <v>#DIV/0!</v>
      </c>
      <c r="E53" s="18"/>
      <c r="F53" s="18" t="e">
        <f t="shared" si="2"/>
        <v>#DIV/0!</v>
      </c>
      <c r="G53" s="18"/>
      <c r="H53" s="18"/>
      <c r="I53" s="18"/>
      <c r="J53" s="18"/>
      <c r="K53" s="18"/>
      <c r="L53" s="18"/>
      <c r="M53" s="18"/>
      <c r="N53" s="18"/>
      <c r="O53" s="18"/>
      <c r="P53" s="18"/>
    </row>
    <row r="54" spans="1:16" ht="14.5">
      <c r="A54" s="6" t="s">
        <v>155</v>
      </c>
      <c r="B54" s="6" t="s">
        <v>152</v>
      </c>
      <c r="C54" s="16"/>
      <c r="D54" s="17" t="e">
        <f t="shared" si="1"/>
        <v>#DIV/0!</v>
      </c>
      <c r="E54" s="18"/>
      <c r="F54" s="18" t="e">
        <f t="shared" si="2"/>
        <v>#DIV/0!</v>
      </c>
      <c r="G54" s="18"/>
      <c r="H54" s="18"/>
      <c r="I54" s="18"/>
      <c r="J54" s="18"/>
      <c r="K54" s="18"/>
      <c r="L54" s="18"/>
      <c r="M54" s="18"/>
      <c r="N54" s="18"/>
      <c r="O54" s="18"/>
      <c r="P54" s="18"/>
    </row>
    <row r="55" spans="1:16" ht="14.5">
      <c r="A55" s="6" t="s">
        <v>156</v>
      </c>
      <c r="B55" s="6" t="s">
        <v>152</v>
      </c>
      <c r="C55" s="16"/>
      <c r="D55" s="17" t="e">
        <f t="shared" si="1"/>
        <v>#DIV/0!</v>
      </c>
      <c r="E55" s="18"/>
      <c r="F55" s="18" t="e">
        <f t="shared" si="2"/>
        <v>#DIV/0!</v>
      </c>
      <c r="G55" s="18"/>
      <c r="H55" s="18"/>
      <c r="I55" s="18"/>
      <c r="J55" s="18"/>
      <c r="K55" s="18"/>
      <c r="L55" s="18"/>
      <c r="M55" s="18"/>
      <c r="N55" s="18"/>
      <c r="O55" s="18"/>
      <c r="P55" s="18"/>
    </row>
    <row r="56" spans="1:16" ht="14.5">
      <c r="A56" s="6" t="s">
        <v>157</v>
      </c>
      <c r="B56" s="6" t="s">
        <v>158</v>
      </c>
      <c r="C56" s="16"/>
      <c r="D56" s="17" t="e">
        <f t="shared" si="1"/>
        <v>#DIV/0!</v>
      </c>
      <c r="E56" s="18"/>
      <c r="F56" s="18" t="e">
        <f t="shared" si="2"/>
        <v>#DIV/0!</v>
      </c>
      <c r="G56" s="18"/>
      <c r="H56" s="18"/>
      <c r="I56" s="18"/>
      <c r="J56" s="18"/>
      <c r="K56" s="18"/>
      <c r="L56" s="18"/>
      <c r="M56" s="18"/>
      <c r="N56" s="18"/>
      <c r="O56" s="18"/>
      <c r="P56" s="18"/>
    </row>
    <row r="57" spans="1:16" ht="14.5">
      <c r="A57" s="6" t="s">
        <v>159</v>
      </c>
      <c r="B57" s="6" t="s">
        <v>107</v>
      </c>
      <c r="C57" s="16"/>
      <c r="D57" s="17" t="e">
        <f t="shared" si="1"/>
        <v>#DIV/0!</v>
      </c>
      <c r="E57" s="18"/>
      <c r="F57" s="18" t="e">
        <f t="shared" si="2"/>
        <v>#DIV/0!</v>
      </c>
      <c r="G57" s="18"/>
      <c r="H57" s="18"/>
      <c r="I57" s="18"/>
      <c r="J57" s="18"/>
      <c r="K57" s="18"/>
      <c r="L57" s="18"/>
      <c r="M57" s="18"/>
      <c r="N57" s="18"/>
      <c r="O57" s="18"/>
      <c r="P57" s="18"/>
    </row>
    <row r="58" spans="1:16" ht="14.5">
      <c r="A58" s="6" t="s">
        <v>160</v>
      </c>
      <c r="B58" s="6" t="s">
        <v>158</v>
      </c>
      <c r="C58" s="16"/>
      <c r="D58" s="17" t="e">
        <f t="shared" si="1"/>
        <v>#DIV/0!</v>
      </c>
      <c r="E58" s="18"/>
      <c r="F58" s="18" t="e">
        <f t="shared" si="2"/>
        <v>#DIV/0!</v>
      </c>
      <c r="G58" s="18"/>
      <c r="H58" s="18"/>
      <c r="I58" s="18"/>
      <c r="J58" s="18"/>
      <c r="K58" s="18"/>
      <c r="L58" s="18"/>
      <c r="M58" s="18"/>
      <c r="N58" s="18"/>
      <c r="O58" s="18"/>
      <c r="P58" s="18"/>
    </row>
    <row r="59" spans="1:16" ht="14.5">
      <c r="A59" s="6"/>
      <c r="B59" s="6"/>
      <c r="C59" s="16"/>
      <c r="D59" s="17"/>
      <c r="E59" s="18"/>
      <c r="F59" s="18"/>
      <c r="G59" s="18"/>
      <c r="H59" s="18"/>
      <c r="I59" s="18"/>
      <c r="J59" s="18"/>
      <c r="K59" s="18"/>
      <c r="L59" s="18"/>
      <c r="M59" s="18"/>
      <c r="N59" s="18"/>
      <c r="O59" s="18"/>
      <c r="P59" s="18"/>
    </row>
    <row r="60" spans="1:16" ht="14.5">
      <c r="A60" s="6"/>
      <c r="B60" s="6"/>
      <c r="C60" s="16"/>
      <c r="D60" s="17"/>
      <c r="E60" s="18"/>
      <c r="F60" s="18"/>
      <c r="G60" s="18"/>
      <c r="H60" s="18"/>
      <c r="I60" s="18"/>
      <c r="J60" s="18"/>
      <c r="K60" s="18"/>
      <c r="L60" s="18"/>
      <c r="M60" s="18"/>
      <c r="N60" s="18"/>
      <c r="O60" s="18"/>
      <c r="P60" s="18"/>
    </row>
    <row r="61" spans="1:16" ht="14.5">
      <c r="A61" s="6"/>
      <c r="B61" s="6"/>
      <c r="C61" s="16"/>
      <c r="D61" s="17"/>
      <c r="E61" s="18"/>
      <c r="F61" s="18"/>
      <c r="G61" s="18"/>
      <c r="H61" s="18"/>
      <c r="I61" s="18"/>
      <c r="J61" s="18"/>
      <c r="K61" s="18"/>
      <c r="L61" s="18"/>
      <c r="M61" s="18"/>
      <c r="N61" s="18"/>
      <c r="O61" s="18"/>
      <c r="P61" s="18"/>
    </row>
    <row r="62" spans="1:16" ht="12" customHeight="1">
      <c r="A62" s="6" t="s">
        <v>161</v>
      </c>
      <c r="B62" s="9"/>
      <c r="C62" s="9"/>
      <c r="D62" s="9"/>
      <c r="E62" s="18"/>
      <c r="F62" s="18"/>
      <c r="G62" s="18"/>
      <c r="H62" s="18"/>
      <c r="I62" s="18"/>
      <c r="J62" s="18"/>
      <c r="K62" s="18"/>
      <c r="L62" s="18"/>
      <c r="M62" s="18"/>
      <c r="N62" s="18"/>
      <c r="O62" s="18"/>
      <c r="P62" s="18"/>
    </row>
    <row r="63" spans="1:16">
      <c r="A63" s="6" t="s">
        <v>162</v>
      </c>
      <c r="B63" s="9"/>
      <c r="C63" s="9"/>
      <c r="D63" s="9"/>
      <c r="E63" s="18"/>
      <c r="F63" s="18"/>
      <c r="G63" s="18"/>
      <c r="H63" s="18"/>
      <c r="I63" s="18"/>
      <c r="J63" s="18"/>
      <c r="K63" s="18"/>
      <c r="L63" s="18"/>
      <c r="M63" s="18"/>
      <c r="N63" s="18"/>
      <c r="O63" s="18"/>
      <c r="P63" s="18"/>
    </row>
    <row r="68" spans="1:1" ht="13">
      <c r="A68" s="222"/>
    </row>
    <row r="69" spans="1:1" ht="13">
      <c r="A69" s="223"/>
    </row>
  </sheetData>
  <mergeCells count="12">
    <mergeCell ref="O28:P28"/>
    <mergeCell ref="A1:C2"/>
    <mergeCell ref="A4:C4"/>
    <mergeCell ref="A5:C5"/>
    <mergeCell ref="A11:D11"/>
    <mergeCell ref="A24:C24"/>
    <mergeCell ref="A27:P27"/>
    <mergeCell ref="E28:F28"/>
    <mergeCell ref="G28:H28"/>
    <mergeCell ref="I28:J28"/>
    <mergeCell ref="K28:L28"/>
    <mergeCell ref="M28:N28"/>
  </mergeCells>
  <pageMargins left="0.70866141732283472" right="0.70866141732283472" top="0.74803149606299213" bottom="0.74803149606299213" header="0.31496062992125984" footer="0.31496062992125984"/>
  <pageSetup scale="53" fitToHeight="2" orientation="landscape"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4B004-7C1D-4943-81AC-08D56F978F4F}">
  <sheetPr>
    <tabColor theme="4" tint="0.59999389629810485"/>
  </sheetPr>
  <dimension ref="A2:F14"/>
  <sheetViews>
    <sheetView view="pageBreakPreview" zoomScale="85" zoomScaleNormal="120" zoomScaleSheetLayoutView="85" workbookViewId="0">
      <selection activeCell="G12" sqref="G12"/>
    </sheetView>
  </sheetViews>
  <sheetFormatPr baseColWidth="10" defaultColWidth="11.453125" defaultRowHeight="12.5"/>
  <cols>
    <col min="1" max="1" width="6.1796875" customWidth="1"/>
    <col min="2" max="2" width="36.7265625" customWidth="1"/>
    <col min="3" max="3" width="14.81640625" customWidth="1"/>
    <col min="4" max="4" width="12.1796875" customWidth="1"/>
    <col min="5" max="5" width="83.7265625" customWidth="1"/>
    <col min="6" max="6" width="16.1796875" customWidth="1"/>
  </cols>
  <sheetData>
    <row r="2" spans="1:6" ht="13">
      <c r="A2" s="393" t="s">
        <v>163</v>
      </c>
      <c r="B2" s="393"/>
      <c r="C2" s="393"/>
      <c r="D2" s="393"/>
      <c r="E2" s="393"/>
      <c r="F2" s="394"/>
    </row>
    <row r="3" spans="1:6" ht="13">
      <c r="A3" s="138" t="s">
        <v>164</v>
      </c>
      <c r="B3" s="139" t="s">
        <v>97</v>
      </c>
      <c r="C3" s="139" t="s">
        <v>165</v>
      </c>
      <c r="D3" s="139" t="s">
        <v>166</v>
      </c>
      <c r="E3" s="140" t="s">
        <v>167</v>
      </c>
      <c r="F3" s="141" t="s">
        <v>168</v>
      </c>
    </row>
    <row r="4" spans="1:6" ht="13">
      <c r="A4" s="136">
        <v>1</v>
      </c>
      <c r="B4" s="20" t="s">
        <v>169</v>
      </c>
      <c r="C4" s="20" t="s">
        <v>170</v>
      </c>
      <c r="D4" s="21"/>
      <c r="E4" s="22"/>
      <c r="F4" s="137"/>
    </row>
    <row r="5" spans="1:6" ht="13">
      <c r="A5" s="136">
        <v>2</v>
      </c>
      <c r="B5" s="20" t="s">
        <v>171</v>
      </c>
      <c r="C5" s="20" t="s">
        <v>170</v>
      </c>
      <c r="D5" s="23"/>
      <c r="E5" s="24"/>
      <c r="F5" s="137"/>
    </row>
    <row r="6" spans="1:6" ht="13">
      <c r="A6" s="136">
        <v>3</v>
      </c>
      <c r="B6" s="20" t="s">
        <v>172</v>
      </c>
      <c r="C6" s="20" t="s">
        <v>170</v>
      </c>
      <c r="D6" s="23"/>
      <c r="E6" s="25"/>
      <c r="F6" s="137"/>
    </row>
    <row r="7" spans="1:6" ht="13">
      <c r="A7" s="142">
        <v>4</v>
      </c>
      <c r="B7" s="143" t="s">
        <v>173</v>
      </c>
      <c r="C7" s="143" t="s">
        <v>174</v>
      </c>
      <c r="D7" s="144"/>
      <c r="E7" s="145"/>
      <c r="F7" s="146"/>
    </row>
    <row r="8" spans="1:6" ht="13">
      <c r="A8" s="142">
        <v>5</v>
      </c>
      <c r="B8" s="143" t="s">
        <v>175</v>
      </c>
      <c r="C8" s="143" t="s">
        <v>176</v>
      </c>
      <c r="D8" s="144"/>
      <c r="E8" s="145"/>
      <c r="F8" s="146"/>
    </row>
    <row r="13" spans="1:6">
      <c r="B13" s="224"/>
    </row>
    <row r="14" spans="1:6">
      <c r="B14" s="225"/>
    </row>
  </sheetData>
  <mergeCells count="1">
    <mergeCell ref="A2:F2"/>
  </mergeCells>
  <pageMargins left="0.7" right="0.7" top="0.75" bottom="0.75" header="0.3" footer="0.3"/>
  <pageSetup scale="73" orientation="landscape"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EB976-FF41-48D5-81C9-5AAAD2580DF6}">
  <sheetPr>
    <tabColor theme="4" tint="0.59999389629810485"/>
    <pageSetUpPr fitToPage="1"/>
  </sheetPr>
  <dimension ref="A1:AB149"/>
  <sheetViews>
    <sheetView view="pageBreakPreview" zoomScale="70" zoomScaleNormal="70" zoomScaleSheetLayoutView="70" workbookViewId="0">
      <selection activeCell="P23" sqref="P23"/>
    </sheetView>
  </sheetViews>
  <sheetFormatPr baseColWidth="10" defaultColWidth="11.453125" defaultRowHeight="12.5"/>
  <cols>
    <col min="1" max="1" width="9.7265625" customWidth="1"/>
    <col min="2" max="2" width="52.7265625" customWidth="1"/>
    <col min="3" max="3" width="23.1796875" customWidth="1"/>
    <col min="4" max="4" width="25.26953125" customWidth="1"/>
    <col min="5" max="5" width="18.81640625" customWidth="1"/>
    <col min="6" max="6" width="18.54296875" customWidth="1"/>
  </cols>
  <sheetData>
    <row r="1" spans="1:6" ht="34.15" customHeight="1">
      <c r="A1" s="396" t="str">
        <f>+Usuarios!B1</f>
        <v>IMPLEMENTACIÓN DE SOLUCIONES ENERGÉTICAS SOSTENIBLES CON FUENTES NO CONVENCIONALES PARA LAS  COMUNIDADES RURALES DEL MUNICIPIO CARTAGENA DEL CHAIRÁ, DEPARTAMENTO DEL CAQUETÁ</v>
      </c>
      <c r="B1" s="396"/>
      <c r="C1" s="396"/>
      <c r="D1" s="396"/>
      <c r="E1" s="396"/>
      <c r="F1" s="396"/>
    </row>
    <row r="2" spans="1:6" ht="13">
      <c r="A2" s="395" t="s">
        <v>177</v>
      </c>
      <c r="B2" s="395"/>
      <c r="C2" s="395"/>
      <c r="D2" s="395"/>
      <c r="E2" s="395"/>
      <c r="F2" s="395"/>
    </row>
    <row r="3" spans="1:6" ht="26.5" customHeight="1">
      <c r="A3" s="138" t="s">
        <v>178</v>
      </c>
      <c r="B3" s="138" t="s">
        <v>179</v>
      </c>
      <c r="C3" s="139" t="s">
        <v>180</v>
      </c>
      <c r="D3" s="139" t="s">
        <v>181</v>
      </c>
      <c r="E3" s="139" t="s">
        <v>182</v>
      </c>
      <c r="F3" s="148" t="s">
        <v>183</v>
      </c>
    </row>
    <row r="4" spans="1:6" ht="13">
      <c r="A4" s="136">
        <v>1</v>
      </c>
      <c r="B4" s="147" t="s">
        <v>184</v>
      </c>
      <c r="C4" s="227" t="s">
        <v>185</v>
      </c>
      <c r="D4" s="227" t="s">
        <v>186</v>
      </c>
      <c r="E4" s="21"/>
      <c r="F4" s="228"/>
    </row>
    <row r="5" spans="1:6" ht="13">
      <c r="A5" s="136">
        <v>2</v>
      </c>
      <c r="B5" s="226" t="s">
        <v>187</v>
      </c>
      <c r="C5" s="227" t="s">
        <v>186</v>
      </c>
      <c r="D5" s="227" t="s">
        <v>188</v>
      </c>
      <c r="E5" s="21"/>
      <c r="F5" s="228"/>
    </row>
    <row r="6" spans="1:6" ht="13">
      <c r="A6" s="136">
        <v>3</v>
      </c>
      <c r="B6" s="226" t="s">
        <v>187</v>
      </c>
      <c r="C6" s="227" t="s">
        <v>185</v>
      </c>
      <c r="D6" s="227" t="s">
        <v>188</v>
      </c>
      <c r="E6" s="21"/>
      <c r="F6" s="228"/>
    </row>
    <row r="7" spans="1:6" ht="13">
      <c r="A7" s="136">
        <v>4</v>
      </c>
      <c r="B7" s="147" t="s">
        <v>189</v>
      </c>
      <c r="C7" s="227" t="s">
        <v>185</v>
      </c>
      <c r="D7" s="227" t="s">
        <v>188</v>
      </c>
      <c r="E7" s="21"/>
      <c r="F7" s="229"/>
    </row>
    <row r="8" spans="1:6" ht="31.9" customHeight="1">
      <c r="A8" s="136" t="s">
        <v>190</v>
      </c>
      <c r="B8" s="289" t="s">
        <v>191</v>
      </c>
      <c r="C8" s="230" t="s">
        <v>192</v>
      </c>
      <c r="D8" s="231" t="s">
        <v>193</v>
      </c>
      <c r="E8" s="232"/>
      <c r="F8" s="233"/>
    </row>
    <row r="9" spans="1:6" ht="27" customHeight="1">
      <c r="A9" s="136" t="s">
        <v>194</v>
      </c>
      <c r="B9" s="289" t="s">
        <v>195</v>
      </c>
      <c r="C9" s="230" t="s">
        <v>192</v>
      </c>
      <c r="D9" s="231" t="s">
        <v>196</v>
      </c>
      <c r="E9" s="232"/>
      <c r="F9" s="233"/>
    </row>
    <row r="10" spans="1:6" ht="28.9" customHeight="1">
      <c r="A10" s="136" t="s">
        <v>197</v>
      </c>
      <c r="B10" s="289" t="s">
        <v>198</v>
      </c>
      <c r="C10" s="230" t="s">
        <v>192</v>
      </c>
      <c r="D10" s="231" t="s">
        <v>193</v>
      </c>
      <c r="E10" s="232"/>
      <c r="F10" s="233"/>
    </row>
    <row r="11" spans="1:6" ht="52">
      <c r="A11" s="136">
        <v>6</v>
      </c>
      <c r="B11" s="290" t="s">
        <v>199</v>
      </c>
      <c r="C11" s="227" t="s">
        <v>185</v>
      </c>
      <c r="D11" s="231" t="s">
        <v>193</v>
      </c>
      <c r="E11" s="21"/>
      <c r="F11" s="229"/>
    </row>
    <row r="12" spans="1:6" ht="13">
      <c r="A12" s="136">
        <v>7</v>
      </c>
      <c r="B12" s="149" t="s">
        <v>200</v>
      </c>
      <c r="C12" s="231" t="s">
        <v>201</v>
      </c>
      <c r="D12" s="231" t="s">
        <v>193</v>
      </c>
      <c r="E12" s="232"/>
      <c r="F12" s="229"/>
    </row>
    <row r="19" spans="1:5">
      <c r="B19" s="224"/>
    </row>
    <row r="20" spans="1:5">
      <c r="B20" s="225"/>
    </row>
    <row r="22" spans="1:5" ht="18.5">
      <c r="A22" s="397" t="s">
        <v>202</v>
      </c>
      <c r="B22" s="398"/>
      <c r="C22" s="398"/>
      <c r="D22" s="398"/>
      <c r="E22" s="399"/>
    </row>
    <row r="23" spans="1:5" ht="15.5">
      <c r="A23" s="234" t="s">
        <v>203</v>
      </c>
      <c r="B23" s="235" t="s">
        <v>204</v>
      </c>
      <c r="C23" s="235" t="s">
        <v>205</v>
      </c>
      <c r="D23" s="235" t="s">
        <v>206</v>
      </c>
      <c r="E23" s="236" t="s">
        <v>207</v>
      </c>
    </row>
    <row r="24" spans="1:5" ht="15.5">
      <c r="A24" s="237">
        <v>2</v>
      </c>
      <c r="B24" s="238" t="s">
        <v>208</v>
      </c>
      <c r="C24" s="238" t="s">
        <v>209</v>
      </c>
      <c r="D24" s="274" t="s">
        <v>210</v>
      </c>
      <c r="E24" s="239"/>
    </row>
    <row r="25" spans="1:5" ht="15.5">
      <c r="A25" s="237">
        <v>3</v>
      </c>
      <c r="B25" s="238" t="s">
        <v>211</v>
      </c>
      <c r="C25" s="238" t="s">
        <v>209</v>
      </c>
      <c r="D25" s="274" t="s">
        <v>212</v>
      </c>
      <c r="E25" s="239"/>
    </row>
    <row r="26" spans="1:5" ht="15.5">
      <c r="A26" s="237">
        <v>5</v>
      </c>
      <c r="B26" s="238" t="s">
        <v>213</v>
      </c>
      <c r="C26" s="238" t="s">
        <v>209</v>
      </c>
      <c r="D26" s="274" t="s">
        <v>214</v>
      </c>
      <c r="E26" s="239"/>
    </row>
    <row r="27" spans="1:5" ht="29">
      <c r="A27" s="240">
        <v>7</v>
      </c>
      <c r="B27" s="335" t="s">
        <v>215</v>
      </c>
      <c r="C27" s="335" t="s">
        <v>209</v>
      </c>
      <c r="D27" s="336" t="s">
        <v>216</v>
      </c>
      <c r="E27" s="239"/>
    </row>
    <row r="28" spans="1:5" ht="29">
      <c r="A28" s="240">
        <v>8</v>
      </c>
      <c r="B28" s="335" t="s">
        <v>217</v>
      </c>
      <c r="C28" s="335" t="s">
        <v>209</v>
      </c>
      <c r="D28" s="336" t="s">
        <v>218</v>
      </c>
      <c r="E28" s="239"/>
    </row>
    <row r="29" spans="1:5" ht="29">
      <c r="A29" s="240">
        <v>11</v>
      </c>
      <c r="B29" s="335" t="s">
        <v>219</v>
      </c>
      <c r="C29" s="335" t="s">
        <v>209</v>
      </c>
      <c r="D29" s="336" t="s">
        <v>220</v>
      </c>
      <c r="E29" s="239"/>
    </row>
    <row r="30" spans="1:5" ht="21" customHeight="1">
      <c r="A30" s="240">
        <v>13</v>
      </c>
      <c r="B30" s="238" t="s">
        <v>221</v>
      </c>
      <c r="C30" s="238" t="s">
        <v>209</v>
      </c>
      <c r="D30" s="311" t="s">
        <v>222</v>
      </c>
      <c r="E30" s="239"/>
    </row>
    <row r="31" spans="1:5" ht="15.5">
      <c r="D31" s="241" t="s">
        <v>223</v>
      </c>
      <c r="E31" s="239"/>
    </row>
    <row r="32" spans="1:5" ht="15.5">
      <c r="D32" s="241" t="s">
        <v>224</v>
      </c>
      <c r="E32" s="242"/>
    </row>
    <row r="33" spans="1:6" ht="25.15" customHeight="1">
      <c r="D33" s="241" t="s">
        <v>225</v>
      </c>
      <c r="E33" s="291"/>
    </row>
    <row r="34" spans="1:6" ht="15.5">
      <c r="D34" s="241" t="s">
        <v>226</v>
      </c>
      <c r="E34" s="239"/>
    </row>
    <row r="35" spans="1:6">
      <c r="A35" s="403"/>
      <c r="B35" s="403"/>
      <c r="C35" s="403"/>
      <c r="D35" s="403"/>
      <c r="E35" s="403"/>
      <c r="F35" s="403"/>
    </row>
    <row r="39" spans="1:6" ht="13">
      <c r="B39" s="245" t="s">
        <v>193</v>
      </c>
      <c r="C39" s="245" t="s">
        <v>227</v>
      </c>
      <c r="D39" s="245" t="s">
        <v>228</v>
      </c>
      <c r="E39" s="245" t="s">
        <v>7</v>
      </c>
    </row>
    <row r="40" spans="1:6" ht="25">
      <c r="B40" s="268" t="s">
        <v>229</v>
      </c>
      <c r="C40" s="282">
        <f>+E147</f>
        <v>25.302060927152322</v>
      </c>
      <c r="D40" s="269">
        <f>+E31</f>
        <v>0</v>
      </c>
      <c r="E40" s="270">
        <f>+C40*D40</f>
        <v>0</v>
      </c>
    </row>
    <row r="41" spans="1:6">
      <c r="D41" s="283" t="s">
        <v>230</v>
      </c>
      <c r="E41" s="279" t="s">
        <v>231</v>
      </c>
    </row>
    <row r="42" spans="1:6" ht="13">
      <c r="D42" s="284" t="s">
        <v>232</v>
      </c>
      <c r="E42" s="209">
        <f>+E40/500</f>
        <v>0</v>
      </c>
    </row>
    <row r="44" spans="1:6" ht="13">
      <c r="B44" s="404" t="s">
        <v>233</v>
      </c>
      <c r="C44" s="405"/>
    </row>
    <row r="45" spans="1:6">
      <c r="B45" s="208" t="s">
        <v>234</v>
      </c>
      <c r="C45" s="285">
        <v>80</v>
      </c>
    </row>
    <row r="46" spans="1:6">
      <c r="B46" s="208" t="s">
        <v>235</v>
      </c>
      <c r="C46" s="280"/>
    </row>
    <row r="47" spans="1:6">
      <c r="B47" s="208" t="s">
        <v>236</v>
      </c>
      <c r="C47" s="281"/>
    </row>
    <row r="48" spans="1:6" ht="13">
      <c r="B48" s="286" t="s">
        <v>237</v>
      </c>
      <c r="C48" s="287" t="e">
        <f>+C46/(C47*C45)</f>
        <v>#DIV/0!</v>
      </c>
    </row>
    <row r="49" spans="2:28" ht="13">
      <c r="B49" s="288" t="s">
        <v>238</v>
      </c>
      <c r="C49" s="287" t="e">
        <f>+C48*E148</f>
        <v>#DIV/0!</v>
      </c>
    </row>
    <row r="50" spans="2:28">
      <c r="B50" s="309"/>
      <c r="C50" s="309"/>
      <c r="D50" s="309"/>
      <c r="E50" s="309"/>
    </row>
    <row r="51" spans="2:28" ht="13">
      <c r="B51" s="404" t="s">
        <v>239</v>
      </c>
      <c r="C51" s="405"/>
      <c r="D51" s="309"/>
      <c r="E51" s="309"/>
    </row>
    <row r="52" spans="2:28">
      <c r="B52" s="30" t="s">
        <v>240</v>
      </c>
      <c r="C52" s="285">
        <v>1200</v>
      </c>
      <c r="D52" s="309"/>
      <c r="E52" s="309"/>
    </row>
    <row r="53" spans="2:28">
      <c r="B53" s="30" t="s">
        <v>241</v>
      </c>
      <c r="C53" s="310"/>
      <c r="D53" s="401"/>
      <c r="E53" s="402"/>
    </row>
    <row r="54" spans="2:28" ht="17.5" customHeight="1">
      <c r="B54" s="30" t="s">
        <v>242</v>
      </c>
      <c r="C54" s="285"/>
      <c r="D54" s="309"/>
      <c r="E54" s="309"/>
    </row>
    <row r="55" spans="2:28" ht="13">
      <c r="B55" s="286" t="s">
        <v>243</v>
      </c>
      <c r="C55" s="287" t="e">
        <f>+C53/C52/C54</f>
        <v>#DIV/0!</v>
      </c>
      <c r="D55" s="309"/>
      <c r="E55" s="309"/>
    </row>
    <row r="56" spans="2:28" ht="26">
      <c r="B56" s="50" t="s">
        <v>244</v>
      </c>
      <c r="C56" s="287" t="e">
        <f>+C55*E149</f>
        <v>#DIV/0!</v>
      </c>
      <c r="D56" s="309"/>
      <c r="E56" s="309"/>
    </row>
    <row r="58" spans="2:28" ht="13">
      <c r="C58" s="258"/>
      <c r="D58" s="400" t="s">
        <v>245</v>
      </c>
      <c r="E58" s="400"/>
      <c r="F58" s="400"/>
      <c r="AB58" s="26" t="s">
        <v>246</v>
      </c>
    </row>
    <row r="59" spans="2:28" ht="13">
      <c r="B59" s="301" t="s">
        <v>8</v>
      </c>
      <c r="C59" s="302"/>
      <c r="D59" s="245" t="s">
        <v>247</v>
      </c>
      <c r="E59" s="245" t="s">
        <v>248</v>
      </c>
      <c r="F59" s="245" t="s">
        <v>249</v>
      </c>
    </row>
    <row r="60" spans="2:28">
      <c r="B60" s="9" t="s">
        <v>14</v>
      </c>
      <c r="C60" s="308">
        <v>1</v>
      </c>
      <c r="D60" s="308">
        <f>14.1+50.46</f>
        <v>64.56</v>
      </c>
      <c r="E60" s="208">
        <v>1.57</v>
      </c>
      <c r="F60" s="208"/>
    </row>
    <row r="61" spans="2:28">
      <c r="B61" s="9" t="s">
        <v>16</v>
      </c>
      <c r="C61" s="308">
        <v>2</v>
      </c>
      <c r="D61" s="308">
        <f>14.1+7.11</f>
        <v>21.21</v>
      </c>
      <c r="E61" s="208">
        <v>0.68</v>
      </c>
      <c r="F61" s="208"/>
    </row>
    <row r="62" spans="2:28">
      <c r="B62" s="312" t="s">
        <v>17</v>
      </c>
      <c r="C62" s="308">
        <v>1</v>
      </c>
      <c r="D62" s="308">
        <v>109</v>
      </c>
      <c r="E62" s="208">
        <v>0</v>
      </c>
      <c r="F62" s="208"/>
    </row>
    <row r="63" spans="2:28">
      <c r="B63" s="9" t="s">
        <v>18</v>
      </c>
      <c r="C63" s="308">
        <v>1</v>
      </c>
      <c r="D63" s="208">
        <v>15</v>
      </c>
      <c r="E63" s="208">
        <v>0.157</v>
      </c>
      <c r="F63" s="208"/>
    </row>
    <row r="64" spans="2:28">
      <c r="B64" s="9" t="s">
        <v>19</v>
      </c>
      <c r="C64" s="308">
        <v>1</v>
      </c>
      <c r="D64" s="208">
        <f>18.68+28.5</f>
        <v>47.18</v>
      </c>
      <c r="E64" s="208">
        <v>0</v>
      </c>
      <c r="F64" s="208">
        <v>1</v>
      </c>
    </row>
    <row r="65" spans="2:6">
      <c r="B65" s="9" t="s">
        <v>20</v>
      </c>
      <c r="C65" s="308">
        <v>2</v>
      </c>
      <c r="D65" s="208">
        <v>1</v>
      </c>
      <c r="E65" s="208">
        <v>1</v>
      </c>
      <c r="F65" s="208"/>
    </row>
    <row r="66" spans="2:6">
      <c r="B66" s="312" t="s">
        <v>21</v>
      </c>
      <c r="C66" s="308">
        <v>4</v>
      </c>
      <c r="D66" s="208">
        <v>30.9</v>
      </c>
      <c r="E66" s="208">
        <v>1.25</v>
      </c>
      <c r="F66" s="208"/>
    </row>
    <row r="67" spans="2:6">
      <c r="B67" s="9" t="s">
        <v>22</v>
      </c>
      <c r="C67" s="308">
        <v>32</v>
      </c>
      <c r="D67" s="208">
        <f>55.2+19.29</f>
        <v>74.490000000000009</v>
      </c>
      <c r="E67" s="208">
        <v>1.02</v>
      </c>
      <c r="F67" s="208">
        <v>1</v>
      </c>
    </row>
    <row r="68" spans="2:6">
      <c r="B68" s="9" t="s">
        <v>23</v>
      </c>
      <c r="C68" s="308">
        <v>14</v>
      </c>
      <c r="D68" s="208">
        <v>37.799999999999997</v>
      </c>
      <c r="E68" s="208">
        <v>0.2</v>
      </c>
      <c r="F68" s="208"/>
    </row>
    <row r="69" spans="2:6">
      <c r="B69" s="9" t="s">
        <v>24</v>
      </c>
      <c r="C69" s="308">
        <v>2</v>
      </c>
      <c r="D69" s="208">
        <f>55.2+21.83</f>
        <v>77.03</v>
      </c>
      <c r="E69" s="208">
        <v>2.8</v>
      </c>
      <c r="F69" s="208">
        <v>1</v>
      </c>
    </row>
    <row r="70" spans="2:6">
      <c r="B70" s="312" t="s">
        <v>25</v>
      </c>
      <c r="C70" s="308">
        <v>10</v>
      </c>
      <c r="D70" s="208">
        <v>19.899999999999999</v>
      </c>
      <c r="E70" s="208">
        <v>3.6</v>
      </c>
      <c r="F70" s="208"/>
    </row>
    <row r="71" spans="2:6">
      <c r="B71" s="9" t="s">
        <v>26</v>
      </c>
      <c r="C71" s="308">
        <v>9</v>
      </c>
      <c r="D71" s="208">
        <v>39.1</v>
      </c>
      <c r="E71" s="208">
        <v>5</v>
      </c>
      <c r="F71" s="208"/>
    </row>
    <row r="72" spans="2:6">
      <c r="B72" s="9" t="s">
        <v>26</v>
      </c>
      <c r="C72" s="308">
        <v>1</v>
      </c>
      <c r="D72" s="208">
        <v>9.1</v>
      </c>
      <c r="E72" s="208">
        <v>2.78</v>
      </c>
      <c r="F72" s="208"/>
    </row>
    <row r="73" spans="2:6">
      <c r="B73" s="9" t="s">
        <v>26</v>
      </c>
      <c r="C73" s="308">
        <v>1</v>
      </c>
      <c r="D73" s="208">
        <v>1</v>
      </c>
      <c r="E73" s="208">
        <v>0</v>
      </c>
      <c r="F73" s="208">
        <v>28.5</v>
      </c>
    </row>
    <row r="74" spans="2:6">
      <c r="B74" s="9" t="s">
        <v>27</v>
      </c>
      <c r="C74" s="308">
        <v>48</v>
      </c>
      <c r="D74" s="208">
        <v>35.5</v>
      </c>
      <c r="E74" s="208">
        <v>1.67</v>
      </c>
      <c r="F74" s="208"/>
    </row>
    <row r="75" spans="2:6">
      <c r="B75" s="9" t="s">
        <v>28</v>
      </c>
      <c r="C75" s="308">
        <v>1</v>
      </c>
      <c r="D75" s="208">
        <v>17.8</v>
      </c>
      <c r="E75" s="208">
        <v>0</v>
      </c>
      <c r="F75" s="208"/>
    </row>
    <row r="76" spans="2:6">
      <c r="B76" s="312" t="s">
        <v>29</v>
      </c>
      <c r="C76" s="308">
        <v>10</v>
      </c>
      <c r="D76" s="208">
        <f>38.57+57.3</f>
        <v>95.87</v>
      </c>
      <c r="E76" s="208">
        <v>7</v>
      </c>
      <c r="F76" s="208">
        <v>1</v>
      </c>
    </row>
    <row r="77" spans="2:6">
      <c r="B77" s="312" t="s">
        <v>29</v>
      </c>
      <c r="C77" s="308">
        <v>1</v>
      </c>
      <c r="D77" s="208">
        <v>1</v>
      </c>
      <c r="E77" s="208">
        <v>0</v>
      </c>
      <c r="F77" s="208">
        <v>145</v>
      </c>
    </row>
    <row r="78" spans="2:6">
      <c r="B78" s="9" t="s">
        <v>30</v>
      </c>
      <c r="C78" s="308">
        <v>3</v>
      </c>
      <c r="D78" s="208">
        <f>+(40.9+43+1)/3</f>
        <v>28.3</v>
      </c>
      <c r="E78" s="208">
        <f>+(0.741+0+0)/3</f>
        <v>0.247</v>
      </c>
      <c r="F78" s="208"/>
    </row>
    <row r="79" spans="2:6">
      <c r="B79" s="312" t="s">
        <v>31</v>
      </c>
      <c r="C79" s="308">
        <v>1</v>
      </c>
      <c r="D79" s="208">
        <v>1</v>
      </c>
      <c r="E79" s="208">
        <v>0</v>
      </c>
      <c r="F79" s="208">
        <v>99.16</v>
      </c>
    </row>
    <row r="80" spans="2:6">
      <c r="B80" s="9" t="s">
        <v>32</v>
      </c>
      <c r="C80" s="308">
        <v>17</v>
      </c>
      <c r="D80" s="208">
        <v>16.3</v>
      </c>
      <c r="E80" s="208">
        <v>0.253</v>
      </c>
      <c r="F80" s="208">
        <v>1</v>
      </c>
    </row>
    <row r="81" spans="2:6">
      <c r="B81" s="9" t="s">
        <v>33</v>
      </c>
      <c r="C81" s="308">
        <v>24</v>
      </c>
      <c r="D81" s="208">
        <v>0</v>
      </c>
      <c r="E81" s="208">
        <v>2.4</v>
      </c>
      <c r="F81" s="208">
        <v>86.353999999999999</v>
      </c>
    </row>
    <row r="82" spans="2:6">
      <c r="B82" s="9" t="s">
        <v>33</v>
      </c>
      <c r="C82" s="308">
        <v>1</v>
      </c>
      <c r="D82" s="208">
        <v>63.9</v>
      </c>
      <c r="E82" s="208">
        <v>0</v>
      </c>
      <c r="F82" s="208"/>
    </row>
    <row r="83" spans="2:6">
      <c r="B83" s="312" t="s">
        <v>34</v>
      </c>
      <c r="C83" s="308">
        <v>2</v>
      </c>
      <c r="D83" s="208">
        <v>14.1</v>
      </c>
      <c r="E83" s="208">
        <v>0.38200000000000001</v>
      </c>
      <c r="F83" s="208"/>
    </row>
    <row r="84" spans="2:6">
      <c r="B84" s="312" t="s">
        <v>35</v>
      </c>
      <c r="C84" s="308">
        <v>25</v>
      </c>
      <c r="D84" s="208">
        <v>1</v>
      </c>
      <c r="E84" s="208">
        <v>2.72</v>
      </c>
      <c r="F84" s="208">
        <v>126.5</v>
      </c>
    </row>
    <row r="85" spans="2:6">
      <c r="B85" s="9" t="s">
        <v>36</v>
      </c>
      <c r="C85" s="308">
        <v>1</v>
      </c>
      <c r="D85" s="208">
        <f>12.52+14.1</f>
        <v>26.619999999999997</v>
      </c>
      <c r="E85" s="208">
        <v>0</v>
      </c>
      <c r="F85" s="208">
        <v>0</v>
      </c>
    </row>
    <row r="86" spans="2:6">
      <c r="B86" s="9" t="s">
        <v>37</v>
      </c>
      <c r="C86" s="308">
        <v>1</v>
      </c>
      <c r="D86" s="208">
        <v>9.1</v>
      </c>
      <c r="E86" s="208">
        <v>2.73</v>
      </c>
      <c r="F86" s="208"/>
    </row>
    <row r="87" spans="2:6">
      <c r="B87" s="9" t="s">
        <v>38</v>
      </c>
      <c r="C87" s="308">
        <v>2</v>
      </c>
      <c r="D87" s="208">
        <v>27.8</v>
      </c>
      <c r="E87" s="208">
        <v>0.373</v>
      </c>
      <c r="F87" s="208"/>
    </row>
    <row r="88" spans="2:6">
      <c r="B88" s="9" t="s">
        <v>39</v>
      </c>
      <c r="C88" s="308">
        <v>4</v>
      </c>
      <c r="D88" s="208">
        <v>13.3</v>
      </c>
      <c r="E88" s="208">
        <v>1.69</v>
      </c>
      <c r="F88" s="208"/>
    </row>
    <row r="89" spans="2:6">
      <c r="B89" s="9" t="s">
        <v>40</v>
      </c>
      <c r="C89" s="308">
        <v>12</v>
      </c>
      <c r="D89" s="208">
        <v>1</v>
      </c>
      <c r="E89" s="208">
        <v>5.16</v>
      </c>
      <c r="F89" s="208">
        <v>74.42</v>
      </c>
    </row>
    <row r="90" spans="2:6">
      <c r="B90" s="9" t="s">
        <v>41</v>
      </c>
      <c r="C90" s="308">
        <v>1</v>
      </c>
      <c r="D90" s="208">
        <f>22.57+57.3</f>
        <v>79.87</v>
      </c>
      <c r="E90" s="208">
        <v>3</v>
      </c>
      <c r="F90" s="208">
        <v>1</v>
      </c>
    </row>
    <row r="91" spans="2:6">
      <c r="B91" s="312" t="s">
        <v>42</v>
      </c>
      <c r="C91" s="308">
        <v>1</v>
      </c>
      <c r="D91" s="208">
        <v>1</v>
      </c>
      <c r="E91" s="208">
        <v>0</v>
      </c>
      <c r="F91" s="208">
        <v>177.3</v>
      </c>
    </row>
    <row r="92" spans="2:6">
      <c r="B92" s="9" t="s">
        <v>43</v>
      </c>
      <c r="C92" s="308">
        <v>2</v>
      </c>
      <c r="D92" s="208">
        <v>21.4</v>
      </c>
      <c r="E92" s="208">
        <v>0</v>
      </c>
      <c r="F92" s="208"/>
    </row>
    <row r="93" spans="2:6">
      <c r="B93" s="9" t="s">
        <v>44</v>
      </c>
      <c r="C93" s="308">
        <v>1</v>
      </c>
      <c r="D93" s="208">
        <v>49.6</v>
      </c>
      <c r="E93" s="208">
        <v>0.41899999999999998</v>
      </c>
      <c r="F93" s="208">
        <v>1</v>
      </c>
    </row>
    <row r="94" spans="2:6">
      <c r="B94" s="9" t="s">
        <v>45</v>
      </c>
      <c r="C94" s="308">
        <v>3</v>
      </c>
      <c r="D94" s="208">
        <f>+(12.4+12.4+16.5)/3</f>
        <v>13.766666666666666</v>
      </c>
      <c r="E94" s="208">
        <f>+(0+0+0.269)/3</f>
        <v>8.9666666666666672E-2</v>
      </c>
      <c r="F94" s="208"/>
    </row>
    <row r="95" spans="2:6">
      <c r="B95" s="9" t="s">
        <v>46</v>
      </c>
      <c r="C95" s="308">
        <v>11</v>
      </c>
      <c r="D95" s="208">
        <v>1</v>
      </c>
      <c r="E95" s="208">
        <v>6.34</v>
      </c>
      <c r="F95" s="208">
        <v>110</v>
      </c>
    </row>
    <row r="96" spans="2:6">
      <c r="B96" s="9" t="s">
        <v>47</v>
      </c>
      <c r="C96" s="308">
        <v>26</v>
      </c>
      <c r="D96" s="208">
        <v>26.1</v>
      </c>
      <c r="E96" s="208">
        <v>1.1299999999999999</v>
      </c>
      <c r="F96" s="208"/>
    </row>
    <row r="97" spans="2:6">
      <c r="B97" s="9" t="s">
        <v>48</v>
      </c>
      <c r="C97" s="308">
        <v>1</v>
      </c>
      <c r="D97" s="208">
        <v>18.899999999999999</v>
      </c>
      <c r="E97" s="208">
        <v>2</v>
      </c>
      <c r="F97" s="208"/>
    </row>
    <row r="98" spans="2:6">
      <c r="B98" s="9" t="s">
        <v>49</v>
      </c>
      <c r="C98" s="308">
        <v>3</v>
      </c>
      <c r="D98" s="208" t="s">
        <v>250</v>
      </c>
      <c r="E98" s="208">
        <v>1.03</v>
      </c>
      <c r="F98" s="208"/>
    </row>
    <row r="99" spans="2:6">
      <c r="B99" s="312" t="s">
        <v>50</v>
      </c>
      <c r="C99" s="308">
        <v>7</v>
      </c>
      <c r="D99" s="208">
        <f>27.29+14.1</f>
        <v>41.39</v>
      </c>
      <c r="E99" s="208">
        <v>2.85</v>
      </c>
      <c r="F99" s="208"/>
    </row>
    <row r="100" spans="2:6">
      <c r="B100" s="312" t="s">
        <v>50</v>
      </c>
      <c r="C100" s="308">
        <v>1</v>
      </c>
      <c r="D100" s="208">
        <v>97</v>
      </c>
      <c r="E100" s="208">
        <v>0.64800000000000002</v>
      </c>
      <c r="F100" s="208"/>
    </row>
    <row r="101" spans="2:6">
      <c r="B101" s="9" t="s">
        <v>51</v>
      </c>
      <c r="C101" s="308">
        <v>1</v>
      </c>
      <c r="D101" s="208">
        <v>35.24</v>
      </c>
      <c r="E101" s="208">
        <v>0</v>
      </c>
      <c r="F101" s="208"/>
    </row>
    <row r="102" spans="2:6">
      <c r="B102" s="9" t="s">
        <v>52</v>
      </c>
      <c r="C102" s="308">
        <v>21</v>
      </c>
      <c r="D102" s="208">
        <v>6.7</v>
      </c>
      <c r="E102" s="208">
        <v>3.14</v>
      </c>
      <c r="F102" s="208"/>
    </row>
    <row r="103" spans="2:6">
      <c r="B103" s="9" t="s">
        <v>53</v>
      </c>
      <c r="C103" s="308">
        <v>17</v>
      </c>
      <c r="D103" s="208">
        <v>47.2</v>
      </c>
      <c r="E103" s="208">
        <v>0.19500000000000001</v>
      </c>
      <c r="F103" s="208"/>
    </row>
    <row r="104" spans="2:6">
      <c r="B104" s="312" t="s">
        <v>54</v>
      </c>
      <c r="C104" s="308">
        <v>1</v>
      </c>
      <c r="D104" s="208">
        <v>33.1</v>
      </c>
      <c r="E104" s="208">
        <v>1.44</v>
      </c>
      <c r="F104" s="208"/>
    </row>
    <row r="105" spans="2:6">
      <c r="B105" s="9" t="s">
        <v>55</v>
      </c>
      <c r="C105" s="308">
        <v>23</v>
      </c>
      <c r="D105" s="208">
        <v>1</v>
      </c>
      <c r="E105" s="208">
        <v>11</v>
      </c>
      <c r="F105" s="208">
        <v>130</v>
      </c>
    </row>
    <row r="106" spans="2:6">
      <c r="B106" s="312" t="s">
        <v>56</v>
      </c>
      <c r="C106" s="308">
        <v>15</v>
      </c>
      <c r="D106" s="208">
        <f>19.5+57.1</f>
        <v>76.599999999999994</v>
      </c>
      <c r="E106" s="208">
        <v>1.57</v>
      </c>
      <c r="F106" s="208"/>
    </row>
    <row r="107" spans="2:6">
      <c r="B107" s="9" t="s">
        <v>57</v>
      </c>
      <c r="C107" s="308">
        <v>18</v>
      </c>
      <c r="D107" s="208">
        <v>12.4</v>
      </c>
      <c r="E107" s="208">
        <v>1.98</v>
      </c>
      <c r="F107" s="208"/>
    </row>
    <row r="108" spans="2:6">
      <c r="B108" s="9" t="s">
        <v>58</v>
      </c>
      <c r="C108" s="308">
        <v>1</v>
      </c>
      <c r="D108" s="208">
        <v>0</v>
      </c>
      <c r="E108" s="208">
        <v>0</v>
      </c>
      <c r="F108" s="208"/>
    </row>
    <row r="109" spans="2:6">
      <c r="B109" s="9" t="s">
        <v>59</v>
      </c>
      <c r="C109" s="308">
        <v>1</v>
      </c>
      <c r="D109" s="208">
        <v>36.92</v>
      </c>
      <c r="E109" s="208">
        <v>0</v>
      </c>
      <c r="F109" s="208"/>
    </row>
    <row r="110" spans="2:6">
      <c r="B110" s="9" t="s">
        <v>60</v>
      </c>
      <c r="C110" s="308">
        <v>16</v>
      </c>
      <c r="D110" s="208">
        <v>7.4109999999999996</v>
      </c>
      <c r="E110" s="208">
        <v>1.94</v>
      </c>
      <c r="F110" s="208"/>
    </row>
    <row r="111" spans="2:6">
      <c r="B111" s="312" t="s">
        <v>61</v>
      </c>
      <c r="C111" s="308">
        <v>4</v>
      </c>
      <c r="D111" s="208">
        <v>23.8</v>
      </c>
      <c r="E111" s="208">
        <v>0.2</v>
      </c>
      <c r="F111" s="208">
        <v>1</v>
      </c>
    </row>
    <row r="112" spans="2:6">
      <c r="B112" s="9" t="s">
        <v>62</v>
      </c>
      <c r="C112" s="308">
        <v>1</v>
      </c>
      <c r="D112" s="208">
        <v>101</v>
      </c>
      <c r="E112" s="208">
        <v>0</v>
      </c>
      <c r="F112" s="208"/>
    </row>
    <row r="113" spans="2:6">
      <c r="B113" s="312" t="s">
        <v>63</v>
      </c>
      <c r="C113" s="308">
        <v>23</v>
      </c>
      <c r="D113" s="208">
        <f>9.48+14.1</f>
        <v>23.58</v>
      </c>
      <c r="E113" s="208">
        <v>0.57999999999999996</v>
      </c>
      <c r="F113" s="208"/>
    </row>
    <row r="114" spans="2:6">
      <c r="B114" s="312" t="s">
        <v>63</v>
      </c>
      <c r="C114" s="308">
        <v>1</v>
      </c>
      <c r="D114" s="208">
        <f>22.57+57.3</f>
        <v>79.87</v>
      </c>
      <c r="E114" s="208">
        <v>12.65</v>
      </c>
      <c r="F114" s="208">
        <v>1</v>
      </c>
    </row>
    <row r="115" spans="2:6">
      <c r="B115" s="9" t="s">
        <v>64</v>
      </c>
      <c r="C115" s="308">
        <v>24</v>
      </c>
      <c r="D115" s="208">
        <v>1</v>
      </c>
      <c r="E115" s="208">
        <v>5.27</v>
      </c>
      <c r="F115" s="208">
        <v>130</v>
      </c>
    </row>
    <row r="116" spans="2:6">
      <c r="B116" s="9" t="s">
        <v>65</v>
      </c>
      <c r="C116" s="308">
        <v>1</v>
      </c>
      <c r="D116" s="208">
        <f>29.4+15.66</f>
        <v>45.06</v>
      </c>
      <c r="E116" s="208">
        <v>0.90800000000000003</v>
      </c>
      <c r="F116" s="208">
        <v>1</v>
      </c>
    </row>
    <row r="117" spans="2:6">
      <c r="B117" s="9" t="s">
        <v>66</v>
      </c>
      <c r="C117" s="308">
        <v>18</v>
      </c>
      <c r="D117" s="208">
        <v>16.7</v>
      </c>
      <c r="E117" s="208">
        <v>1.18</v>
      </c>
      <c r="F117" s="208"/>
    </row>
    <row r="118" spans="2:6">
      <c r="B118" s="9" t="s">
        <v>67</v>
      </c>
      <c r="C118" s="308">
        <v>1</v>
      </c>
      <c r="D118" s="208">
        <f>28.43+14.1</f>
        <v>42.53</v>
      </c>
      <c r="E118" s="208">
        <v>0.85</v>
      </c>
      <c r="F118" s="208"/>
    </row>
    <row r="119" spans="2:6">
      <c r="B119" s="312" t="s">
        <v>68</v>
      </c>
      <c r="C119" s="308">
        <v>7</v>
      </c>
      <c r="D119" s="208">
        <v>16.2</v>
      </c>
      <c r="E119" s="208">
        <v>0</v>
      </c>
      <c r="F119" s="208">
        <v>1</v>
      </c>
    </row>
    <row r="120" spans="2:6">
      <c r="B120" s="9" t="s">
        <v>69</v>
      </c>
      <c r="C120" s="308">
        <v>1</v>
      </c>
      <c r="D120" s="208">
        <v>40.340000000000003</v>
      </c>
      <c r="E120" s="208">
        <v>0</v>
      </c>
      <c r="F120" s="208"/>
    </row>
    <row r="121" spans="2:6">
      <c r="B121" s="312" t="s">
        <v>70</v>
      </c>
      <c r="C121" s="308">
        <v>29</v>
      </c>
      <c r="D121" s="208">
        <v>1</v>
      </c>
      <c r="E121" s="208">
        <v>6.49</v>
      </c>
      <c r="F121" s="208">
        <v>150</v>
      </c>
    </row>
    <row r="122" spans="2:6">
      <c r="B122" s="9" t="s">
        <v>71</v>
      </c>
      <c r="C122" s="308">
        <v>2</v>
      </c>
      <c r="D122" s="208">
        <v>9.3000000000000007</v>
      </c>
      <c r="E122" s="208">
        <v>1.1299999999999999</v>
      </c>
      <c r="F122" s="208"/>
    </row>
    <row r="123" spans="2:6">
      <c r="B123" s="9" t="s">
        <v>72</v>
      </c>
      <c r="C123" s="308">
        <v>8</v>
      </c>
      <c r="D123" s="208">
        <f>22.57+57.3</f>
        <v>79.87</v>
      </c>
      <c r="E123" s="208">
        <v>10</v>
      </c>
      <c r="F123" s="208">
        <v>1</v>
      </c>
    </row>
    <row r="124" spans="2:6">
      <c r="B124" s="9" t="s">
        <v>73</v>
      </c>
      <c r="C124" s="308">
        <v>1</v>
      </c>
      <c r="D124" s="208">
        <v>0</v>
      </c>
      <c r="E124" s="208">
        <v>0</v>
      </c>
      <c r="F124" s="208"/>
    </row>
    <row r="125" spans="2:6">
      <c r="B125" s="312" t="s">
        <v>74</v>
      </c>
      <c r="C125" s="308">
        <v>1</v>
      </c>
      <c r="D125" s="208">
        <f>37.6+3.77</f>
        <v>41.370000000000005</v>
      </c>
      <c r="E125" s="208">
        <v>0</v>
      </c>
      <c r="F125" s="208"/>
    </row>
    <row r="126" spans="2:6">
      <c r="B126" s="9" t="s">
        <v>75</v>
      </c>
      <c r="C126" s="308">
        <v>33</v>
      </c>
      <c r="D126" s="208">
        <v>1</v>
      </c>
      <c r="E126" s="208">
        <v>2.0499999999999998</v>
      </c>
      <c r="F126" s="208">
        <v>102.5</v>
      </c>
    </row>
    <row r="127" spans="2:6">
      <c r="B127" s="312" t="s">
        <v>76</v>
      </c>
      <c r="C127" s="308">
        <v>9</v>
      </c>
      <c r="D127" s="208">
        <f>13.19+57.3</f>
        <v>70.489999999999995</v>
      </c>
      <c r="E127" s="208">
        <v>2.35</v>
      </c>
      <c r="F127" s="208">
        <v>1</v>
      </c>
    </row>
    <row r="128" spans="2:6">
      <c r="B128" s="9" t="s">
        <v>77</v>
      </c>
      <c r="C128" s="308">
        <v>5</v>
      </c>
      <c r="D128" s="208">
        <f>9.16+34.2</f>
        <v>43.36</v>
      </c>
      <c r="E128" s="208">
        <v>0.77400000000000002</v>
      </c>
      <c r="F128" s="208">
        <v>1</v>
      </c>
    </row>
    <row r="129" spans="2:6">
      <c r="B129" s="9" t="s">
        <v>78</v>
      </c>
      <c r="C129" s="308">
        <v>9</v>
      </c>
      <c r="D129" s="208">
        <v>20.5</v>
      </c>
      <c r="E129" s="208">
        <v>0.17799999999999999</v>
      </c>
      <c r="F129" s="208"/>
    </row>
    <row r="130" spans="2:6">
      <c r="B130" s="9" t="s">
        <v>79</v>
      </c>
      <c r="C130" s="308">
        <v>3</v>
      </c>
      <c r="D130" s="208">
        <f>15.62+34.2</f>
        <v>49.82</v>
      </c>
      <c r="E130" s="208">
        <v>0.28499999999999998</v>
      </c>
      <c r="F130" s="208">
        <v>1</v>
      </c>
    </row>
    <row r="131" spans="2:6">
      <c r="B131" s="9" t="s">
        <v>80</v>
      </c>
      <c r="C131" s="308">
        <v>1</v>
      </c>
      <c r="D131" s="208">
        <v>1</v>
      </c>
      <c r="E131" s="208">
        <v>0</v>
      </c>
      <c r="F131" s="208">
        <v>53.8</v>
      </c>
    </row>
    <row r="132" spans="2:6">
      <c r="B132" s="9" t="s">
        <v>81</v>
      </c>
      <c r="C132" s="308">
        <v>1</v>
      </c>
      <c r="D132" s="208">
        <v>16.2</v>
      </c>
      <c r="E132" s="208">
        <v>0</v>
      </c>
      <c r="F132" s="208">
        <v>1</v>
      </c>
    </row>
    <row r="133" spans="2:6">
      <c r="B133" s="9" t="s">
        <v>82</v>
      </c>
      <c r="C133" s="308">
        <v>41</v>
      </c>
      <c r="D133" s="208">
        <v>24.1</v>
      </c>
      <c r="E133" s="208">
        <v>0.69199999999999995</v>
      </c>
      <c r="F133" s="208">
        <v>1</v>
      </c>
    </row>
    <row r="134" spans="2:6">
      <c r="B134" s="9" t="s">
        <v>83</v>
      </c>
      <c r="C134" s="308">
        <v>25</v>
      </c>
      <c r="D134" s="208">
        <v>24.5</v>
      </c>
      <c r="E134" s="208">
        <v>0.88200000000000001</v>
      </c>
      <c r="F134" s="208"/>
    </row>
    <row r="135" spans="2:6">
      <c r="B135" s="9" t="s">
        <v>84</v>
      </c>
      <c r="C135" s="308">
        <v>1</v>
      </c>
      <c r="D135" s="208">
        <v>18</v>
      </c>
      <c r="E135" s="208">
        <v>0.08</v>
      </c>
      <c r="F135" s="208"/>
    </row>
    <row r="136" spans="2:6">
      <c r="B136" s="9" t="s">
        <v>85</v>
      </c>
      <c r="C136" s="308">
        <v>1</v>
      </c>
      <c r="D136" s="208">
        <v>17.7</v>
      </c>
      <c r="E136" s="208">
        <v>0</v>
      </c>
      <c r="F136" s="208">
        <v>1</v>
      </c>
    </row>
    <row r="137" spans="2:6">
      <c r="B137" s="9" t="s">
        <v>86</v>
      </c>
      <c r="C137" s="308">
        <v>5</v>
      </c>
      <c r="D137" s="208">
        <v>40.9</v>
      </c>
      <c r="E137" s="208">
        <v>0.88700000000000001</v>
      </c>
      <c r="F137" s="208">
        <v>1</v>
      </c>
    </row>
    <row r="138" spans="2:6">
      <c r="B138" s="9" t="s">
        <v>86</v>
      </c>
      <c r="C138" s="308">
        <v>1</v>
      </c>
      <c r="D138" s="208">
        <f>14.16+4.8</f>
        <v>18.96</v>
      </c>
      <c r="E138" s="208">
        <v>1.52</v>
      </c>
      <c r="F138" s="208">
        <v>1</v>
      </c>
    </row>
    <row r="139" spans="2:6">
      <c r="B139" s="9" t="s">
        <v>87</v>
      </c>
      <c r="C139" s="308">
        <v>1</v>
      </c>
      <c r="D139" s="208">
        <v>16.899999999999999</v>
      </c>
      <c r="E139" s="208">
        <v>0</v>
      </c>
      <c r="F139" s="208">
        <v>1</v>
      </c>
    </row>
    <row r="140" spans="2:6">
      <c r="B140" s="9" t="s">
        <v>88</v>
      </c>
      <c r="C140" s="308">
        <v>41</v>
      </c>
      <c r="D140" s="208">
        <v>35.6</v>
      </c>
      <c r="E140" s="208">
        <v>0.2</v>
      </c>
      <c r="F140" s="208">
        <v>0</v>
      </c>
    </row>
    <row r="141" spans="2:6">
      <c r="B141" s="9" t="s">
        <v>89</v>
      </c>
      <c r="C141" s="308">
        <v>15</v>
      </c>
      <c r="D141" s="208">
        <v>15.2</v>
      </c>
      <c r="E141" s="208">
        <v>0.51</v>
      </c>
      <c r="F141" s="208">
        <v>1</v>
      </c>
    </row>
    <row r="142" spans="2:6">
      <c r="B142" s="9" t="s">
        <v>89</v>
      </c>
      <c r="C142" s="308">
        <v>3</v>
      </c>
      <c r="D142" s="208">
        <v>21.5</v>
      </c>
      <c r="E142" s="208">
        <v>0.15</v>
      </c>
      <c r="F142" s="208">
        <v>1</v>
      </c>
    </row>
    <row r="143" spans="2:6">
      <c r="B143" s="9" t="s">
        <v>90</v>
      </c>
      <c r="C143" s="308">
        <v>5</v>
      </c>
      <c r="D143" s="208">
        <f>39.2+14.1</f>
        <v>53.300000000000004</v>
      </c>
      <c r="E143" s="208">
        <v>1.95</v>
      </c>
      <c r="F143" s="208"/>
    </row>
    <row r="144" spans="2:6">
      <c r="B144" s="9" t="s">
        <v>91</v>
      </c>
      <c r="C144" s="308">
        <v>17</v>
      </c>
      <c r="D144" s="208">
        <v>8.5</v>
      </c>
      <c r="E144" s="208">
        <v>0.63500000000000001</v>
      </c>
      <c r="F144" s="208"/>
    </row>
    <row r="145" spans="2:6">
      <c r="B145" s="9" t="s">
        <v>92</v>
      </c>
      <c r="C145" s="308">
        <v>11</v>
      </c>
      <c r="D145" s="208">
        <f>15.5+29.4</f>
        <v>44.9</v>
      </c>
      <c r="E145" s="208">
        <v>0.46400000000000002</v>
      </c>
      <c r="F145" s="208">
        <v>1</v>
      </c>
    </row>
    <row r="146" spans="2:6" ht="13">
      <c r="B146" s="219" t="s">
        <v>7</v>
      </c>
      <c r="C146" s="276">
        <f>SUM(C60:C145)</f>
        <v>755</v>
      </c>
      <c r="D146" s="276">
        <f>SUM(D60:D145)</f>
        <v>2570.5076666666664</v>
      </c>
      <c r="E146" s="277" t="s">
        <v>251</v>
      </c>
    </row>
    <row r="147" spans="2:6" ht="13">
      <c r="D147" s="278" t="s">
        <v>252</v>
      </c>
      <c r="E147" s="276">
        <f>SUMPRODUCT(C60:C145,D60:D145)/$C$146</f>
        <v>25.302060927152322</v>
      </c>
    </row>
    <row r="148" spans="2:6" ht="13">
      <c r="D148" s="46" t="s">
        <v>253</v>
      </c>
      <c r="E148" s="276">
        <f>SUMPRODUCT(C60:C145,E60:E145)/$C$146</f>
        <v>2.213670198675497</v>
      </c>
    </row>
    <row r="149" spans="2:6" ht="13">
      <c r="D149" s="46" t="s">
        <v>254</v>
      </c>
      <c r="E149" s="276">
        <f>SUMPRODUCT(C60:C145,F60:F145)/$C$146</f>
        <v>28.960656953642381</v>
      </c>
    </row>
  </sheetData>
  <autoFilter ref="B39:C46" xr:uid="{155EB976-FF41-48D5-81C9-5AAAD2580DF6}"/>
  <mergeCells count="8">
    <mergeCell ref="A2:F2"/>
    <mergeCell ref="A1:F1"/>
    <mergeCell ref="A22:E22"/>
    <mergeCell ref="D58:F58"/>
    <mergeCell ref="D53:E53"/>
    <mergeCell ref="A35:F35"/>
    <mergeCell ref="B51:C51"/>
    <mergeCell ref="B44:C44"/>
  </mergeCells>
  <phoneticPr fontId="29" type="noConversion"/>
  <printOptions horizontalCentered="1"/>
  <pageMargins left="0.70866141732283472" right="0.70866141732283472" top="0.74803149606299213" bottom="0.74803149606299213" header="0.31496062992125984" footer="0.31496062992125984"/>
  <pageSetup scale="62" fitToHeight="2"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067A8-65CA-429C-82EC-C990ED2A88E2}">
  <sheetPr>
    <tabColor theme="6" tint="0.59999389629810485"/>
    <pageSetUpPr fitToPage="1"/>
  </sheetPr>
  <dimension ref="A2:K39"/>
  <sheetViews>
    <sheetView view="pageBreakPreview" zoomScale="80" zoomScaleNormal="90" zoomScaleSheetLayoutView="80" workbookViewId="0">
      <selection activeCell="F10" sqref="F10"/>
    </sheetView>
  </sheetViews>
  <sheetFormatPr baseColWidth="10" defaultColWidth="11.453125" defaultRowHeight="12.5"/>
  <cols>
    <col min="1" max="1" width="8.54296875" customWidth="1"/>
    <col min="2" max="2" width="29.81640625" bestFit="1" customWidth="1"/>
    <col min="3" max="3" width="20.26953125" customWidth="1"/>
    <col min="4" max="4" width="19" customWidth="1"/>
    <col min="5" max="5" width="21.453125" customWidth="1"/>
    <col min="6" max="7" width="15.81640625" customWidth="1"/>
    <col min="8" max="8" width="16.7265625" bestFit="1" customWidth="1"/>
    <col min="9" max="9" width="57" bestFit="1" customWidth="1"/>
    <col min="10" max="10" width="21.54296875" customWidth="1"/>
  </cols>
  <sheetData>
    <row r="2" spans="1:11" ht="17.5" customHeight="1">
      <c r="A2" s="406" t="str">
        <f>+'PRESUPUESTO GENERAL SISFV'!$A$1</f>
        <v>IMPLEMENTACIÓN DE SOLUCIONES ENERGÉTICAS SOSTENIBLES CON FUENTES NO CONVENCIONALES PARA LAS  COMUNIDADES RURALES DEL MUNICIPIO CARTAGENA DEL CHAIRÁ, DEPARTAMENTO DEL CAQUETÁ</v>
      </c>
      <c r="B2" s="406"/>
      <c r="C2" s="406"/>
      <c r="D2" s="406"/>
      <c r="E2" s="406"/>
      <c r="F2" s="406"/>
      <c r="G2" s="406"/>
      <c r="H2" s="406"/>
      <c r="I2" s="406"/>
      <c r="J2" s="406"/>
      <c r="K2" s="3"/>
    </row>
    <row r="5" spans="1:11">
      <c r="B5" s="6" t="s">
        <v>255</v>
      </c>
      <c r="C5" s="27"/>
      <c r="D5" s="6" t="s">
        <v>1076</v>
      </c>
    </row>
    <row r="6" spans="1:11" ht="14.5">
      <c r="B6" s="6" t="s">
        <v>256</v>
      </c>
      <c r="C6" s="28"/>
      <c r="D6" s="6" t="s">
        <v>1076</v>
      </c>
    </row>
    <row r="7" spans="1:11" ht="14.5">
      <c r="B7" s="6" t="s">
        <v>257</v>
      </c>
      <c r="C7" s="29"/>
    </row>
    <row r="8" spans="1:11">
      <c r="B8" s="30" t="s">
        <v>258</v>
      </c>
      <c r="C8" s="17">
        <f>ROUND((365-70)/12,2)</f>
        <v>24.58</v>
      </c>
      <c r="D8" s="31"/>
    </row>
    <row r="11" spans="1:11" ht="13">
      <c r="A11" s="407" t="s">
        <v>259</v>
      </c>
      <c r="B11" s="407"/>
      <c r="C11" s="407"/>
      <c r="D11" s="407"/>
      <c r="E11" s="407"/>
      <c r="F11" s="407"/>
      <c r="G11" s="407"/>
      <c r="H11" s="407"/>
      <c r="I11" s="407"/>
      <c r="J11" s="407"/>
    </row>
    <row r="12" spans="1:11" ht="27.65" customHeight="1">
      <c r="A12" s="294" t="s">
        <v>204</v>
      </c>
      <c r="B12" s="294" t="s">
        <v>260</v>
      </c>
      <c r="C12" s="294" t="s">
        <v>261</v>
      </c>
      <c r="D12" s="294" t="s">
        <v>262</v>
      </c>
      <c r="E12" s="294" t="s">
        <v>256</v>
      </c>
      <c r="F12" s="294" t="s">
        <v>263</v>
      </c>
      <c r="G12" s="296" t="s">
        <v>264</v>
      </c>
      <c r="H12" s="294" t="s">
        <v>265</v>
      </c>
      <c r="I12" s="294" t="s">
        <v>167</v>
      </c>
      <c r="J12" s="294" t="s">
        <v>168</v>
      </c>
      <c r="K12" s="295" t="s">
        <v>266</v>
      </c>
    </row>
    <row r="13" spans="1:11" ht="14.5">
      <c r="A13" s="9">
        <v>1</v>
      </c>
      <c r="B13" s="9" t="s">
        <v>267</v>
      </c>
      <c r="C13" s="9" t="s">
        <v>268</v>
      </c>
      <c r="D13" s="292"/>
      <c r="E13" s="33">
        <f t="shared" ref="E13:E33" si="0">IF(G13&gt;2*$C$5,0,$C$6)</f>
        <v>0</v>
      </c>
      <c r="F13" s="34">
        <f t="shared" ref="F13:F31" si="1">$C$7</f>
        <v>0</v>
      </c>
      <c r="G13" s="32">
        <f>+ManoObra[[#This Row],[Valor mensual base]]*(1+ManoObra[[#This Row],[Margen positivo]])</f>
        <v>0</v>
      </c>
      <c r="H13" s="33">
        <f t="shared" ref="H13:H33" si="2">ROUND((D13+E13)/$C$8*(1+F13),0)</f>
        <v>0</v>
      </c>
      <c r="I13" s="35"/>
      <c r="J13" s="36"/>
      <c r="K13" s="9" t="str">
        <f>+IF(ManoObra[[#This Row],[Valor mensual base]]&gt;=$C$5,"ok","&lt;SMMLV")</f>
        <v>ok</v>
      </c>
    </row>
    <row r="14" spans="1:11" ht="14.5">
      <c r="A14" s="9">
        <v>2</v>
      </c>
      <c r="B14" s="9" t="s">
        <v>269</v>
      </c>
      <c r="C14" s="9" t="s">
        <v>268</v>
      </c>
      <c r="D14" s="32"/>
      <c r="E14" s="33">
        <f t="shared" si="0"/>
        <v>0</v>
      </c>
      <c r="F14" s="34">
        <f t="shared" si="1"/>
        <v>0</v>
      </c>
      <c r="G14" s="32">
        <f>+ManoObra[[#This Row],[Valor mensual base]]*(1+ManoObra[[#This Row],[Margen positivo]])</f>
        <v>0</v>
      </c>
      <c r="H14" s="33">
        <f t="shared" si="2"/>
        <v>0</v>
      </c>
      <c r="I14" s="35"/>
      <c r="J14" s="36"/>
      <c r="K14" s="9" t="str">
        <f>+IF(ManoObra[[#This Row],[Valor mensual base]]&gt;=$C$5,"ok","&lt;SMMLV")</f>
        <v>ok</v>
      </c>
    </row>
    <row r="15" spans="1:11" ht="14.5">
      <c r="A15" s="9">
        <v>3</v>
      </c>
      <c r="B15" s="9" t="s">
        <v>270</v>
      </c>
      <c r="C15" s="9" t="s">
        <v>268</v>
      </c>
      <c r="D15" s="32"/>
      <c r="E15" s="33">
        <f t="shared" si="0"/>
        <v>0</v>
      </c>
      <c r="F15" s="34">
        <f t="shared" si="1"/>
        <v>0</v>
      </c>
      <c r="G15" s="32">
        <f>+ManoObra[[#This Row],[Valor mensual base]]*(1+ManoObra[[#This Row],[Margen positivo]])</f>
        <v>0</v>
      </c>
      <c r="H15" s="33">
        <f t="shared" si="2"/>
        <v>0</v>
      </c>
      <c r="I15" s="35"/>
      <c r="J15" s="36"/>
      <c r="K15" s="9" t="str">
        <f>+IF(ManoObra[[#This Row],[Valor mensual base]]&gt;=$C$5,"ok","&lt;SMMLV")</f>
        <v>ok</v>
      </c>
    </row>
    <row r="16" spans="1:11" ht="14.5">
      <c r="A16" s="9">
        <v>4</v>
      </c>
      <c r="B16" s="6" t="s">
        <v>271</v>
      </c>
      <c r="C16" s="6" t="s">
        <v>268</v>
      </c>
      <c r="D16" s="32"/>
      <c r="E16" s="33">
        <f t="shared" si="0"/>
        <v>0</v>
      </c>
      <c r="F16" s="34">
        <f t="shared" si="1"/>
        <v>0</v>
      </c>
      <c r="G16" s="32">
        <f>+ManoObra[[#This Row],[Valor mensual base]]*(1+ManoObra[[#This Row],[Margen positivo]])</f>
        <v>0</v>
      </c>
      <c r="H16" s="33">
        <f t="shared" si="2"/>
        <v>0</v>
      </c>
      <c r="I16" s="35"/>
      <c r="J16" s="36"/>
      <c r="K16" s="9" t="str">
        <f>+IF(ManoObra[[#This Row],[Valor mensual base]]&gt;=$C$5,"ok","&lt;SMMLV")</f>
        <v>ok</v>
      </c>
    </row>
    <row r="17" spans="1:11" ht="14.5">
      <c r="A17" s="9">
        <v>5</v>
      </c>
      <c r="B17" s="6" t="s">
        <v>272</v>
      </c>
      <c r="C17" s="6" t="s">
        <v>273</v>
      </c>
      <c r="D17" s="32"/>
      <c r="E17" s="33">
        <f t="shared" si="0"/>
        <v>0</v>
      </c>
      <c r="F17" s="34">
        <f t="shared" si="1"/>
        <v>0</v>
      </c>
      <c r="G17" s="32">
        <f>+ManoObra[[#This Row],[Valor mensual base]]*(1+ManoObra[[#This Row],[Margen positivo]])</f>
        <v>0</v>
      </c>
      <c r="H17" s="33">
        <f t="shared" si="2"/>
        <v>0</v>
      </c>
      <c r="I17" s="35"/>
      <c r="J17" s="36"/>
      <c r="K17" s="9" t="str">
        <f>+IF(ManoObra[[#This Row],[Valor mensual base]]&gt;=$C$5,"ok","&lt;SMMLV")</f>
        <v>ok</v>
      </c>
    </row>
    <row r="18" spans="1:11" ht="14.5">
      <c r="A18" s="9">
        <v>6</v>
      </c>
      <c r="B18" s="6" t="s">
        <v>274</v>
      </c>
      <c r="C18" s="6" t="s">
        <v>268</v>
      </c>
      <c r="D18" s="32"/>
      <c r="E18" s="33">
        <f t="shared" si="0"/>
        <v>0</v>
      </c>
      <c r="F18" s="34">
        <f t="shared" si="1"/>
        <v>0</v>
      </c>
      <c r="G18" s="32">
        <f>+ManoObra[[#This Row],[Valor mensual base]]*(1+ManoObra[[#This Row],[Margen positivo]])</f>
        <v>0</v>
      </c>
      <c r="H18" s="33">
        <f t="shared" si="2"/>
        <v>0</v>
      </c>
      <c r="I18" s="35"/>
      <c r="J18" s="36"/>
      <c r="K18" s="9" t="str">
        <f>+IF(ManoObra[[#This Row],[Valor mensual base]]&gt;=$C$5,"ok","&lt;SMMLV")</f>
        <v>ok</v>
      </c>
    </row>
    <row r="19" spans="1:11" ht="14.5">
      <c r="A19" s="9">
        <v>7</v>
      </c>
      <c r="B19" s="6" t="s">
        <v>275</v>
      </c>
      <c r="C19" s="6" t="s">
        <v>268</v>
      </c>
      <c r="D19" s="32"/>
      <c r="E19" s="33">
        <f t="shared" si="0"/>
        <v>0</v>
      </c>
      <c r="F19" s="34">
        <f t="shared" si="1"/>
        <v>0</v>
      </c>
      <c r="G19" s="32">
        <f>+ManoObra[[#This Row],[Valor mensual base]]*(1+ManoObra[[#This Row],[Margen positivo]])</f>
        <v>0</v>
      </c>
      <c r="H19" s="33">
        <f t="shared" si="2"/>
        <v>0</v>
      </c>
      <c r="I19" s="35"/>
      <c r="J19" s="36"/>
      <c r="K19" s="9" t="str">
        <f>+IF(ManoObra[[#This Row],[Valor mensual base]]&gt;=$C$5,"ok","&lt;SMMLV")</f>
        <v>ok</v>
      </c>
    </row>
    <row r="20" spans="1:11" ht="14.5">
      <c r="A20" s="9">
        <v>8</v>
      </c>
      <c r="B20" s="6" t="s">
        <v>276</v>
      </c>
      <c r="C20" s="6" t="s">
        <v>273</v>
      </c>
      <c r="D20" s="32"/>
      <c r="E20" s="33">
        <f t="shared" si="0"/>
        <v>0</v>
      </c>
      <c r="F20" s="34">
        <f t="shared" si="1"/>
        <v>0</v>
      </c>
      <c r="G20" s="32">
        <f>+ManoObra[[#This Row],[Valor mensual base]]*(1+ManoObra[[#This Row],[Margen positivo]])</f>
        <v>0</v>
      </c>
      <c r="H20" s="33">
        <f t="shared" si="2"/>
        <v>0</v>
      </c>
      <c r="I20" s="35"/>
      <c r="J20" s="36"/>
      <c r="K20" s="9" t="str">
        <f>+IF(ManoObra[[#This Row],[Valor mensual base]]&gt;=$C$5,"ok","&lt;SMMLV")</f>
        <v>ok</v>
      </c>
    </row>
    <row r="21" spans="1:11" ht="14.5">
      <c r="A21" s="9">
        <v>9</v>
      </c>
      <c r="B21" s="6" t="s">
        <v>277</v>
      </c>
      <c r="C21" s="6" t="s">
        <v>273</v>
      </c>
      <c r="D21" s="32"/>
      <c r="E21" s="33">
        <f t="shared" si="0"/>
        <v>0</v>
      </c>
      <c r="F21" s="34">
        <f t="shared" si="1"/>
        <v>0</v>
      </c>
      <c r="G21" s="32">
        <f>+ManoObra[[#This Row],[Valor mensual base]]*(1+ManoObra[[#This Row],[Margen positivo]])</f>
        <v>0</v>
      </c>
      <c r="H21" s="33">
        <f t="shared" si="2"/>
        <v>0</v>
      </c>
      <c r="I21" s="35"/>
      <c r="J21" s="36"/>
      <c r="K21" s="9" t="str">
        <f>+IF(ManoObra[[#This Row],[Valor mensual base]]&gt;=$C$5,"ok","&lt;SMMLV")</f>
        <v>ok</v>
      </c>
    </row>
    <row r="22" spans="1:11" ht="14.5">
      <c r="A22" s="9">
        <v>10</v>
      </c>
      <c r="B22" s="6" t="s">
        <v>278</v>
      </c>
      <c r="C22" s="6" t="s">
        <v>273</v>
      </c>
      <c r="D22" s="32"/>
      <c r="E22" s="33">
        <f t="shared" si="0"/>
        <v>0</v>
      </c>
      <c r="F22" s="34">
        <f t="shared" si="1"/>
        <v>0</v>
      </c>
      <c r="G22" s="32">
        <f>+ManoObra[[#This Row],[Valor mensual base]]*(1+ManoObra[[#This Row],[Margen positivo]])</f>
        <v>0</v>
      </c>
      <c r="H22" s="33">
        <f t="shared" si="2"/>
        <v>0</v>
      </c>
      <c r="I22" s="35"/>
      <c r="J22" s="36"/>
      <c r="K22" s="9" t="str">
        <f>+IF(ManoObra[[#This Row],[Valor mensual base]]&gt;=$C$5,"ok","&lt;SMMLV")</f>
        <v>ok</v>
      </c>
    </row>
    <row r="23" spans="1:11" ht="14.5">
      <c r="A23" s="9">
        <v>11</v>
      </c>
      <c r="B23" s="6" t="s">
        <v>279</v>
      </c>
      <c r="C23" s="6" t="s">
        <v>268</v>
      </c>
      <c r="D23" s="32"/>
      <c r="E23" s="33">
        <f t="shared" si="0"/>
        <v>0</v>
      </c>
      <c r="F23" s="34">
        <f t="shared" si="1"/>
        <v>0</v>
      </c>
      <c r="G23" s="32">
        <f>+ManoObra[[#This Row],[Valor mensual base]]*(1+ManoObra[[#This Row],[Margen positivo]])</f>
        <v>0</v>
      </c>
      <c r="H23" s="33">
        <f t="shared" si="2"/>
        <v>0</v>
      </c>
      <c r="I23" s="35"/>
      <c r="J23" s="36"/>
      <c r="K23" s="9" t="str">
        <f>+IF(ManoObra[[#This Row],[Valor mensual base]]&gt;=$C$5,"ok","&lt;SMMLV")</f>
        <v>ok</v>
      </c>
    </row>
    <row r="24" spans="1:11" ht="14.5">
      <c r="A24" s="9">
        <v>12</v>
      </c>
      <c r="B24" s="6" t="s">
        <v>280</v>
      </c>
      <c r="C24" s="6" t="s">
        <v>268</v>
      </c>
      <c r="D24" s="32"/>
      <c r="E24" s="33">
        <f t="shared" si="0"/>
        <v>0</v>
      </c>
      <c r="F24" s="34">
        <f t="shared" si="1"/>
        <v>0</v>
      </c>
      <c r="G24" s="32">
        <f>+ManoObra[[#This Row],[Valor mensual base]]*(1+ManoObra[[#This Row],[Margen positivo]])</f>
        <v>0</v>
      </c>
      <c r="H24" s="33">
        <f t="shared" si="2"/>
        <v>0</v>
      </c>
      <c r="I24" s="35"/>
      <c r="J24" s="36"/>
      <c r="K24" s="9" t="str">
        <f>+IF(ManoObra[[#This Row],[Valor mensual base]]&gt;=$C$5,"ok","&lt;SMMLV")</f>
        <v>ok</v>
      </c>
    </row>
    <row r="25" spans="1:11" ht="14.5">
      <c r="A25" s="9">
        <v>13</v>
      </c>
      <c r="B25" s="6" t="s">
        <v>281</v>
      </c>
      <c r="C25" s="6" t="s">
        <v>268</v>
      </c>
      <c r="D25" s="32"/>
      <c r="E25" s="33">
        <f t="shared" si="0"/>
        <v>0</v>
      </c>
      <c r="F25" s="34">
        <f t="shared" si="1"/>
        <v>0</v>
      </c>
      <c r="G25" s="32">
        <f>+ManoObra[[#This Row],[Valor mensual base]]*(1+ManoObra[[#This Row],[Margen positivo]])</f>
        <v>0</v>
      </c>
      <c r="H25" s="33">
        <f t="shared" si="2"/>
        <v>0</v>
      </c>
      <c r="I25" s="35"/>
      <c r="J25" s="36"/>
      <c r="K25" s="9" t="str">
        <f>+IF(ManoObra[[#This Row],[Valor mensual base]]&gt;=$C$5,"ok","&lt;SMMLV")</f>
        <v>ok</v>
      </c>
    </row>
    <row r="26" spans="1:11" ht="14.5">
      <c r="A26" s="9">
        <v>14</v>
      </c>
      <c r="B26" s="9" t="s">
        <v>282</v>
      </c>
      <c r="C26" s="6" t="s">
        <v>268</v>
      </c>
      <c r="D26" s="32"/>
      <c r="E26" s="33">
        <f t="shared" si="0"/>
        <v>0</v>
      </c>
      <c r="F26" s="34">
        <f t="shared" si="1"/>
        <v>0</v>
      </c>
      <c r="G26" s="32">
        <f>+ManoObra[[#This Row],[Valor mensual base]]*(1+ManoObra[[#This Row],[Margen positivo]])</f>
        <v>0</v>
      </c>
      <c r="H26" s="33">
        <f t="shared" si="2"/>
        <v>0</v>
      </c>
      <c r="I26" s="35"/>
      <c r="J26" s="36"/>
      <c r="K26" s="9" t="str">
        <f>+IF(ManoObra[[#This Row],[Valor mensual base]]&gt;=$C$5,"ok","&lt;SMMLV")</f>
        <v>ok</v>
      </c>
    </row>
    <row r="27" spans="1:11" ht="14.5">
      <c r="A27" s="9">
        <v>15</v>
      </c>
      <c r="B27" s="9" t="s">
        <v>283</v>
      </c>
      <c r="C27" s="6" t="s">
        <v>273</v>
      </c>
      <c r="D27" s="32"/>
      <c r="E27" s="33">
        <f t="shared" si="0"/>
        <v>0</v>
      </c>
      <c r="F27" s="34">
        <f t="shared" si="1"/>
        <v>0</v>
      </c>
      <c r="G27" s="32">
        <f>+ManoObra[[#This Row],[Valor mensual base]]*(1+ManoObra[[#This Row],[Margen positivo]])</f>
        <v>0</v>
      </c>
      <c r="H27" s="33">
        <f t="shared" si="2"/>
        <v>0</v>
      </c>
      <c r="I27" s="9"/>
      <c r="J27" s="36"/>
      <c r="K27" s="9" t="str">
        <f>+IF(ManoObra[[#This Row],[Valor mensual base]]&gt;=$C$5,"ok","&lt;SMMLV")</f>
        <v>ok</v>
      </c>
    </row>
    <row r="28" spans="1:11" ht="14.5">
      <c r="A28" s="9">
        <v>16</v>
      </c>
      <c r="B28" s="6" t="s">
        <v>284</v>
      </c>
      <c r="C28" s="6" t="s">
        <v>273</v>
      </c>
      <c r="D28" s="32"/>
      <c r="E28" s="33">
        <f t="shared" si="0"/>
        <v>0</v>
      </c>
      <c r="F28" s="34">
        <f t="shared" si="1"/>
        <v>0</v>
      </c>
      <c r="G28" s="32">
        <f>+ManoObra[[#This Row],[Valor mensual base]]*(1+ManoObra[[#This Row],[Margen positivo]])</f>
        <v>0</v>
      </c>
      <c r="H28" s="33">
        <f t="shared" si="2"/>
        <v>0</v>
      </c>
      <c r="I28" s="9"/>
      <c r="J28" s="36"/>
      <c r="K28" s="9" t="str">
        <f>+IF(ManoObra[[#This Row],[Valor mensual base]]&gt;=$C$5,"ok","&lt;SMMLV")</f>
        <v>ok</v>
      </c>
    </row>
    <row r="29" spans="1:11" ht="14.5">
      <c r="A29" s="9">
        <v>17</v>
      </c>
      <c r="B29" s="6" t="s">
        <v>285</v>
      </c>
      <c r="C29" s="6" t="s">
        <v>273</v>
      </c>
      <c r="D29" s="32"/>
      <c r="E29" s="33">
        <f t="shared" si="0"/>
        <v>0</v>
      </c>
      <c r="F29" s="34">
        <f t="shared" si="1"/>
        <v>0</v>
      </c>
      <c r="G29" s="32">
        <f>+ManoObra[[#This Row],[Valor mensual base]]*(1+ManoObra[[#This Row],[Margen positivo]])</f>
        <v>0</v>
      </c>
      <c r="H29" s="33">
        <f t="shared" si="2"/>
        <v>0</v>
      </c>
      <c r="I29" s="35"/>
      <c r="J29" s="36"/>
      <c r="K29" s="9" t="str">
        <f>+IF(ManoObra[[#This Row],[Valor mensual base]]&gt;=$C$5,"ok","&lt;SMMLV")</f>
        <v>ok</v>
      </c>
    </row>
    <row r="30" spans="1:11" ht="14.5">
      <c r="A30" s="9">
        <v>18</v>
      </c>
      <c r="B30" s="9" t="s">
        <v>286</v>
      </c>
      <c r="C30" s="6" t="s">
        <v>268</v>
      </c>
      <c r="D30" s="32"/>
      <c r="E30" s="37">
        <f t="shared" si="0"/>
        <v>0</v>
      </c>
      <c r="F30" s="34">
        <f t="shared" si="1"/>
        <v>0</v>
      </c>
      <c r="G30" s="32">
        <f>+ManoObra[[#This Row],[Valor mensual base]]*(1+ManoObra[[#This Row],[Margen positivo]])</f>
        <v>0</v>
      </c>
      <c r="H30" s="33">
        <f t="shared" si="2"/>
        <v>0</v>
      </c>
      <c r="I30" s="35"/>
      <c r="J30" s="36"/>
      <c r="K30" s="9" t="str">
        <f>+IF(ManoObra[[#This Row],[Valor mensual base]]&gt;=$C$5,"ok","&lt;SMMLV")</f>
        <v>ok</v>
      </c>
    </row>
    <row r="31" spans="1:11" ht="14.5">
      <c r="A31" s="9">
        <v>19</v>
      </c>
      <c r="B31" s="6" t="s">
        <v>287</v>
      </c>
      <c r="C31" s="6" t="s">
        <v>268</v>
      </c>
      <c r="D31" s="32"/>
      <c r="E31" s="37">
        <f t="shared" si="0"/>
        <v>0</v>
      </c>
      <c r="F31" s="34">
        <f t="shared" si="1"/>
        <v>0</v>
      </c>
      <c r="G31" s="32">
        <f>+ManoObra[[#This Row],[Valor mensual base]]*(1+ManoObra[[#This Row],[Margen positivo]])</f>
        <v>0</v>
      </c>
      <c r="H31" s="33">
        <f t="shared" si="2"/>
        <v>0</v>
      </c>
      <c r="I31" s="35"/>
      <c r="J31" s="36"/>
      <c r="K31" s="9" t="str">
        <f>+IF(ManoObra[[#This Row],[Valor mensual base]]&gt;=$C$5,"ok","&lt;SMMLV")</f>
        <v>ok</v>
      </c>
    </row>
    <row r="32" spans="1:11" ht="14.5">
      <c r="A32" s="9">
        <v>21</v>
      </c>
      <c r="B32" s="6" t="s">
        <v>288</v>
      </c>
      <c r="C32" s="6" t="s">
        <v>289</v>
      </c>
      <c r="D32" s="32"/>
      <c r="E32" s="37">
        <f t="shared" si="0"/>
        <v>0</v>
      </c>
      <c r="F32" s="34">
        <f>$C$7</f>
        <v>0</v>
      </c>
      <c r="G32" s="32">
        <f>+ManoObra[[#This Row],[Valor mensual base]]*(1+ManoObra[[#This Row],[Margen positivo]])</f>
        <v>0</v>
      </c>
      <c r="H32" s="33">
        <f t="shared" si="2"/>
        <v>0</v>
      </c>
      <c r="I32" s="38"/>
      <c r="J32" s="36"/>
      <c r="K32" s="9" t="str">
        <f>+IF(ManoObra[[#This Row],[Valor mensual base]]&gt;=$C$5,"ok","&lt;SMMLV")</f>
        <v>ok</v>
      </c>
    </row>
    <row r="33" spans="1:11" ht="14.5">
      <c r="A33" s="9">
        <v>20</v>
      </c>
      <c r="B33" s="216" t="s">
        <v>290</v>
      </c>
      <c r="C33" s="216" t="s">
        <v>268</v>
      </c>
      <c r="D33" s="293"/>
      <c r="E33" s="217">
        <f t="shared" si="0"/>
        <v>0</v>
      </c>
      <c r="F33" s="218">
        <f>$C$7</f>
        <v>0</v>
      </c>
      <c r="G33" s="32">
        <f>+ManoObra[[#This Row],[Valor mensual base]]*(1+ManoObra[[#This Row],[Margen positivo]])</f>
        <v>0</v>
      </c>
      <c r="H33" s="33">
        <f t="shared" si="2"/>
        <v>0</v>
      </c>
      <c r="I33" s="35"/>
      <c r="J33" s="36"/>
      <c r="K33" s="9" t="str">
        <f>+IF(ManoObra[[#This Row],[Valor mensual base]]&gt;=$C$5,"ok","&lt;SMMLV")</f>
        <v>ok</v>
      </c>
    </row>
    <row r="34" spans="1:11">
      <c r="B34" s="39"/>
      <c r="C34" s="39"/>
      <c r="D34" s="45"/>
      <c r="E34" s="40"/>
      <c r="F34" s="41"/>
      <c r="G34" s="41"/>
      <c r="H34" s="42"/>
      <c r="I34" s="43"/>
      <c r="J34" s="44"/>
    </row>
    <row r="35" spans="1:11">
      <c r="B35" s="45"/>
      <c r="C35" s="45"/>
      <c r="D35" s="45"/>
      <c r="E35" s="45"/>
    </row>
    <row r="36" spans="1:11" ht="24" customHeight="1">
      <c r="B36" s="45"/>
      <c r="C36" s="45"/>
      <c r="D36" s="45"/>
      <c r="E36" s="45"/>
    </row>
    <row r="37" spans="1:11">
      <c r="A37" s="46"/>
      <c r="B37" s="243"/>
    </row>
    <row r="38" spans="1:11">
      <c r="B38" s="225"/>
    </row>
    <row r="39" spans="1:11" ht="19.899999999999999" customHeight="1">
      <c r="B39" s="26"/>
    </row>
  </sheetData>
  <mergeCells count="2">
    <mergeCell ref="A2:J2"/>
    <mergeCell ref="A11:J11"/>
  </mergeCells>
  <pageMargins left="0.70866141732283472" right="0.70866141732283472" top="0.74803149606299213" bottom="0.74803149606299213" header="0.31496062992125984" footer="0.31496062992125984"/>
  <pageSetup paperSize="9" scale="56"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7AE69-3078-4160-9248-AA0BB1C865A1}">
  <dimension ref="A1:G65"/>
  <sheetViews>
    <sheetView view="pageBreakPreview" topLeftCell="A57" zoomScale="60" zoomScaleNormal="100" workbookViewId="0">
      <selection activeCell="E61" sqref="E61:E63"/>
    </sheetView>
  </sheetViews>
  <sheetFormatPr baseColWidth="10" defaultColWidth="12.7265625" defaultRowHeight="14.5"/>
  <cols>
    <col min="1" max="1" width="18" style="313" customWidth="1"/>
    <col min="2" max="2" width="91.7265625" style="313" customWidth="1"/>
    <col min="3" max="3" width="13.54296875" style="313" customWidth="1"/>
    <col min="4" max="4" width="13.26953125" style="313" bestFit="1" customWidth="1"/>
    <col min="5" max="5" width="20" style="313" bestFit="1" customWidth="1"/>
    <col min="6" max="6" width="18" style="313" bestFit="1" customWidth="1"/>
    <col min="7" max="7" width="41.453125" style="313" customWidth="1"/>
    <col min="8" max="16384" width="12.7265625" style="313"/>
  </cols>
  <sheetData>
    <row r="1" spans="1:7" ht="49.15" customHeight="1">
      <c r="A1" s="440"/>
      <c r="B1" s="441" t="s">
        <v>359</v>
      </c>
      <c r="C1" s="441"/>
      <c r="D1" s="441"/>
      <c r="E1" s="441"/>
      <c r="F1" s="441"/>
      <c r="G1" s="442"/>
    </row>
    <row r="2" spans="1:7">
      <c r="A2" s="440"/>
      <c r="B2" s="441"/>
      <c r="C2" s="441"/>
      <c r="D2" s="441"/>
      <c r="E2" s="441"/>
      <c r="F2" s="441"/>
      <c r="G2" s="442"/>
    </row>
    <row r="3" spans="1:7">
      <c r="A3" s="440"/>
      <c r="B3" s="443" t="s">
        <v>360</v>
      </c>
      <c r="C3" s="443"/>
      <c r="D3" s="443"/>
      <c r="E3" s="443"/>
      <c r="F3" s="443"/>
      <c r="G3" s="444"/>
    </row>
    <row r="4" spans="1:7">
      <c r="A4" s="445" t="s">
        <v>361</v>
      </c>
      <c r="B4" s="446"/>
      <c r="C4" s="446"/>
      <c r="D4" s="446"/>
      <c r="E4" s="447"/>
      <c r="F4" s="314" t="s">
        <v>362</v>
      </c>
      <c r="G4" s="314">
        <v>755</v>
      </c>
    </row>
    <row r="5" spans="1:7">
      <c r="A5" s="315" t="s">
        <v>363</v>
      </c>
      <c r="B5" s="315" t="s">
        <v>97</v>
      </c>
      <c r="C5" s="315" t="s">
        <v>364</v>
      </c>
      <c r="D5" s="337" t="s">
        <v>126</v>
      </c>
      <c r="E5" s="315" t="s">
        <v>365</v>
      </c>
      <c r="F5" s="315" t="s">
        <v>366</v>
      </c>
      <c r="G5" s="338" t="s">
        <v>367</v>
      </c>
    </row>
    <row r="6" spans="1:7" ht="49.9" customHeight="1">
      <c r="A6" s="435">
        <v>1</v>
      </c>
      <c r="B6" s="448" t="s">
        <v>368</v>
      </c>
      <c r="C6" s="449"/>
      <c r="D6" s="449"/>
      <c r="E6" s="449"/>
      <c r="F6" s="449"/>
      <c r="G6" s="450"/>
    </row>
    <row r="7" spans="1:7" ht="87" customHeight="1">
      <c r="A7" s="431"/>
      <c r="B7" s="339" t="s">
        <v>369</v>
      </c>
      <c r="C7" s="340" t="s">
        <v>370</v>
      </c>
      <c r="D7" s="340">
        <v>6</v>
      </c>
      <c r="E7" s="341"/>
      <c r="F7" s="342">
        <f>E7*D7</f>
        <v>0</v>
      </c>
      <c r="G7" s="451">
        <f>SUM(F7:F10)</f>
        <v>0</v>
      </c>
    </row>
    <row r="8" spans="1:7" ht="43.9" customHeight="1">
      <c r="A8" s="431"/>
      <c r="B8" s="339" t="s">
        <v>371</v>
      </c>
      <c r="C8" s="340" t="s">
        <v>372</v>
      </c>
      <c r="D8" s="340">
        <v>7</v>
      </c>
      <c r="E8" s="341"/>
      <c r="F8" s="342">
        <f>E8*D8</f>
        <v>0</v>
      </c>
      <c r="G8" s="451"/>
    </row>
    <row r="9" spans="1:7" ht="49.9" customHeight="1">
      <c r="A9" s="431"/>
      <c r="B9" s="343" t="s">
        <v>373</v>
      </c>
      <c r="C9" s="324" t="s">
        <v>374</v>
      </c>
      <c r="D9" s="344">
        <v>1</v>
      </c>
      <c r="E9" s="345"/>
      <c r="F9" s="342">
        <f t="shared" ref="F9:F10" si="0">E9*D9</f>
        <v>0</v>
      </c>
      <c r="G9" s="452"/>
    </row>
    <row r="10" spans="1:7" ht="49.9" customHeight="1">
      <c r="A10" s="431"/>
      <c r="B10" s="339" t="s">
        <v>375</v>
      </c>
      <c r="C10" s="324" t="s">
        <v>374</v>
      </c>
      <c r="D10" s="344">
        <v>1</v>
      </c>
      <c r="E10" s="345"/>
      <c r="F10" s="342">
        <f t="shared" si="0"/>
        <v>0</v>
      </c>
      <c r="G10" s="452"/>
    </row>
    <row r="11" spans="1:7" ht="40.15" customHeight="1">
      <c r="A11" s="438"/>
      <c r="B11" s="420" t="s">
        <v>376</v>
      </c>
      <c r="C11" s="421"/>
      <c r="D11" s="421"/>
      <c r="E11" s="421"/>
      <c r="F11" s="422"/>
      <c r="G11" s="453">
        <f>SUM(F12:F16)</f>
        <v>0</v>
      </c>
    </row>
    <row r="12" spans="1:7" ht="87">
      <c r="A12" s="438"/>
      <c r="B12" s="346" t="s">
        <v>377</v>
      </c>
      <c r="C12" s="347" t="s">
        <v>378</v>
      </c>
      <c r="D12" s="348">
        <v>385</v>
      </c>
      <c r="E12" s="349"/>
      <c r="F12" s="350">
        <f>E12*D12</f>
        <v>0</v>
      </c>
      <c r="G12" s="453"/>
    </row>
    <row r="13" spans="1:7" ht="33" customHeight="1">
      <c r="A13" s="431"/>
      <c r="B13" s="351" t="s">
        <v>379</v>
      </c>
      <c r="C13" s="347" t="s">
        <v>378</v>
      </c>
      <c r="D13" s="352">
        <v>1</v>
      </c>
      <c r="E13" s="349"/>
      <c r="F13" s="353">
        <f>E13*D13</f>
        <v>0</v>
      </c>
      <c r="G13" s="453"/>
    </row>
    <row r="14" spans="1:7" ht="33" customHeight="1">
      <c r="A14" s="431"/>
      <c r="B14" s="351" t="s">
        <v>380</v>
      </c>
      <c r="C14" s="324" t="s">
        <v>381</v>
      </c>
      <c r="D14" s="352">
        <v>255</v>
      </c>
      <c r="E14" s="353"/>
      <c r="F14" s="353">
        <f>E14*9</f>
        <v>0</v>
      </c>
      <c r="G14" s="453"/>
    </row>
    <row r="15" spans="1:7" ht="33" customHeight="1">
      <c r="A15" s="431"/>
      <c r="B15" s="351" t="s">
        <v>382</v>
      </c>
      <c r="C15" s="347" t="s">
        <v>383</v>
      </c>
      <c r="D15" s="352">
        <v>1</v>
      </c>
      <c r="E15" s="349"/>
      <c r="F15" s="353">
        <f>E15*D15</f>
        <v>0</v>
      </c>
      <c r="G15" s="453"/>
    </row>
    <row r="16" spans="1:7" ht="34.9" customHeight="1">
      <c r="A16" s="432"/>
      <c r="B16" s="354" t="s">
        <v>384</v>
      </c>
      <c r="C16" s="347" t="s">
        <v>378</v>
      </c>
      <c r="D16" s="348">
        <v>3</v>
      </c>
      <c r="E16" s="349"/>
      <c r="F16" s="350">
        <f>E16*D16</f>
        <v>0</v>
      </c>
      <c r="G16" s="454"/>
    </row>
    <row r="17" spans="1:7" ht="40.15" customHeight="1">
      <c r="A17" s="435">
        <v>2</v>
      </c>
      <c r="B17" s="420" t="s">
        <v>385</v>
      </c>
      <c r="C17" s="421"/>
      <c r="D17" s="421"/>
      <c r="E17" s="421"/>
      <c r="F17" s="422"/>
      <c r="G17" s="436">
        <f>F18+F19</f>
        <v>0</v>
      </c>
    </row>
    <row r="18" spans="1:7" ht="42" customHeight="1">
      <c r="A18" s="431"/>
      <c r="B18" s="339" t="s">
        <v>386</v>
      </c>
      <c r="C18" s="340" t="s">
        <v>378</v>
      </c>
      <c r="D18" s="340">
        <v>21</v>
      </c>
      <c r="E18" s="355"/>
      <c r="F18" s="342">
        <f>E18*D18</f>
        <v>0</v>
      </c>
      <c r="G18" s="437"/>
    </row>
    <row r="19" spans="1:7" ht="49.15" customHeight="1">
      <c r="A19" s="431"/>
      <c r="B19" s="339" t="s">
        <v>387</v>
      </c>
      <c r="C19" s="324" t="s">
        <v>381</v>
      </c>
      <c r="D19" s="340">
        <v>21</v>
      </c>
      <c r="E19" s="355"/>
      <c r="F19" s="342">
        <f>E19*D19</f>
        <v>0</v>
      </c>
      <c r="G19" s="437"/>
    </row>
    <row r="20" spans="1:7" ht="40.15" customHeight="1">
      <c r="A20" s="430">
        <v>3</v>
      </c>
      <c r="B20" s="420" t="s">
        <v>388</v>
      </c>
      <c r="C20" s="421"/>
      <c r="D20" s="421"/>
      <c r="E20" s="421"/>
      <c r="F20" s="422"/>
      <c r="G20" s="436">
        <f>SUM(F21:F22)</f>
        <v>0</v>
      </c>
    </row>
    <row r="21" spans="1:7" ht="42" customHeight="1">
      <c r="A21" s="438"/>
      <c r="B21" s="351" t="s">
        <v>389</v>
      </c>
      <c r="C21" s="347" t="s">
        <v>370</v>
      </c>
      <c r="D21" s="352">
        <v>1</v>
      </c>
      <c r="E21" s="349"/>
      <c r="F21" s="350">
        <f>E21*D21</f>
        <v>0</v>
      </c>
      <c r="G21" s="439"/>
    </row>
    <row r="22" spans="1:7" ht="43.5">
      <c r="A22" s="438"/>
      <c r="B22" s="356" t="s">
        <v>390</v>
      </c>
      <c r="C22" s="357" t="s">
        <v>374</v>
      </c>
      <c r="D22" s="352">
        <v>1</v>
      </c>
      <c r="E22" s="353"/>
      <c r="F22" s="350">
        <f t="shared" ref="F22" si="1">E22*D22</f>
        <v>0</v>
      </c>
      <c r="G22" s="439"/>
    </row>
    <row r="23" spans="1:7" ht="40.15" customHeight="1">
      <c r="A23" s="430">
        <v>4</v>
      </c>
      <c r="B23" s="420" t="s">
        <v>391</v>
      </c>
      <c r="C23" s="421"/>
      <c r="D23" s="421"/>
      <c r="E23" s="421"/>
      <c r="F23" s="422"/>
      <c r="G23" s="425">
        <f>SUM(F24:F27)</f>
        <v>0</v>
      </c>
    </row>
    <row r="24" spans="1:7" ht="55.9" customHeight="1">
      <c r="A24" s="431"/>
      <c r="B24" s="346" t="s">
        <v>392</v>
      </c>
      <c r="C24" s="347" t="s">
        <v>378</v>
      </c>
      <c r="D24" s="348">
        <v>385</v>
      </c>
      <c r="E24" s="349"/>
      <c r="F24" s="358">
        <f>E24*D24</f>
        <v>0</v>
      </c>
      <c r="G24" s="425"/>
    </row>
    <row r="25" spans="1:7" ht="29">
      <c r="A25" s="431"/>
      <c r="B25" s="351" t="s">
        <v>393</v>
      </c>
      <c r="C25" s="324" t="s">
        <v>381</v>
      </c>
      <c r="D25" s="344">
        <v>1</v>
      </c>
      <c r="E25" s="353"/>
      <c r="F25" s="359">
        <f>E25*D25</f>
        <v>0</v>
      </c>
      <c r="G25" s="425"/>
    </row>
    <row r="26" spans="1:7" ht="34.9" customHeight="1">
      <c r="A26" s="431"/>
      <c r="B26" s="351" t="s">
        <v>394</v>
      </c>
      <c r="C26" s="347" t="s">
        <v>378</v>
      </c>
      <c r="D26" s="352">
        <v>1</v>
      </c>
      <c r="E26" s="349"/>
      <c r="F26" s="353">
        <f>E26*D26</f>
        <v>0</v>
      </c>
      <c r="G26" s="425"/>
    </row>
    <row r="27" spans="1:7" ht="70.150000000000006" customHeight="1">
      <c r="A27" s="432"/>
      <c r="B27" s="343" t="s">
        <v>395</v>
      </c>
      <c r="C27" s="324" t="s">
        <v>374</v>
      </c>
      <c r="D27" s="344">
        <v>1</v>
      </c>
      <c r="E27" s="345"/>
      <c r="F27" s="358">
        <f t="shared" ref="F27" si="2">E27*D27</f>
        <v>0</v>
      </c>
      <c r="G27" s="425"/>
    </row>
    <row r="28" spans="1:7" ht="49.9" customHeight="1">
      <c r="A28" s="430">
        <v>5</v>
      </c>
      <c r="B28" s="433" t="s">
        <v>396</v>
      </c>
      <c r="C28" s="434"/>
      <c r="D28" s="434"/>
      <c r="E28" s="434"/>
      <c r="F28" s="434"/>
      <c r="G28" s="425">
        <f>SUM(F29:F32)</f>
        <v>0</v>
      </c>
    </row>
    <row r="29" spans="1:7" ht="42" customHeight="1">
      <c r="A29" s="431"/>
      <c r="B29" s="339" t="s">
        <v>371</v>
      </c>
      <c r="C29" s="340" t="s">
        <v>372</v>
      </c>
      <c r="D29" s="340">
        <v>7</v>
      </c>
      <c r="E29" s="341"/>
      <c r="F29" s="342">
        <f>E29*D29</f>
        <v>0</v>
      </c>
      <c r="G29" s="425"/>
    </row>
    <row r="30" spans="1:7" ht="42" customHeight="1">
      <c r="A30" s="431"/>
      <c r="B30" s="351" t="s">
        <v>397</v>
      </c>
      <c r="C30" s="347" t="s">
        <v>370</v>
      </c>
      <c r="D30" s="352">
        <v>1</v>
      </c>
      <c r="E30" s="349"/>
      <c r="F30" s="350">
        <f t="shared" ref="F30:F32" si="3">E30*D30</f>
        <v>0</v>
      </c>
      <c r="G30" s="425"/>
    </row>
    <row r="31" spans="1:7" ht="42" customHeight="1">
      <c r="A31" s="431"/>
      <c r="B31" s="343" t="s">
        <v>373</v>
      </c>
      <c r="C31" s="324" t="s">
        <v>374</v>
      </c>
      <c r="D31" s="344">
        <v>1</v>
      </c>
      <c r="E31" s="345"/>
      <c r="F31" s="360">
        <f t="shared" si="3"/>
        <v>0</v>
      </c>
      <c r="G31" s="425"/>
    </row>
    <row r="32" spans="1:7" ht="64.150000000000006" customHeight="1">
      <c r="A32" s="431"/>
      <c r="B32" s="339" t="s">
        <v>375</v>
      </c>
      <c r="C32" s="324" t="s">
        <v>374</v>
      </c>
      <c r="D32" s="344">
        <v>1</v>
      </c>
      <c r="E32" s="345"/>
      <c r="F32" s="360">
        <f t="shared" si="3"/>
        <v>0</v>
      </c>
      <c r="G32" s="425"/>
    </row>
    <row r="33" spans="1:7" ht="40.15" customHeight="1">
      <c r="A33" s="427">
        <v>6</v>
      </c>
      <c r="B33" s="420" t="s">
        <v>398</v>
      </c>
      <c r="C33" s="421"/>
      <c r="D33" s="421"/>
      <c r="E33" s="421"/>
      <c r="F33" s="422"/>
      <c r="G33" s="428">
        <f>SUM(F35:F45)</f>
        <v>0</v>
      </c>
    </row>
    <row r="34" spans="1:7" ht="37.9" customHeight="1">
      <c r="A34" s="427"/>
      <c r="B34" s="426" t="s">
        <v>399</v>
      </c>
      <c r="C34" s="426"/>
      <c r="D34" s="426"/>
      <c r="E34" s="426"/>
      <c r="F34" s="426"/>
      <c r="G34" s="424"/>
    </row>
    <row r="35" spans="1:7" ht="34.9" customHeight="1">
      <c r="A35" s="427"/>
      <c r="B35" s="339" t="s">
        <v>400</v>
      </c>
      <c r="C35" s="361" t="s">
        <v>383</v>
      </c>
      <c r="D35" s="362">
        <f>G4*2</f>
        <v>1510</v>
      </c>
      <c r="E35" s="349"/>
      <c r="F35" s="342">
        <f>E35*(D35)*5</f>
        <v>0</v>
      </c>
      <c r="G35" s="424"/>
    </row>
    <row r="36" spans="1:7" ht="34.9" customHeight="1">
      <c r="A36" s="427"/>
      <c r="B36" s="339" t="s">
        <v>401</v>
      </c>
      <c r="C36" s="361" t="s">
        <v>402</v>
      </c>
      <c r="D36" s="362">
        <v>1</v>
      </c>
      <c r="E36" s="349"/>
      <c r="F36" s="342">
        <f>E36*D36</f>
        <v>0</v>
      </c>
      <c r="G36" s="424"/>
    </row>
    <row r="37" spans="1:7" ht="34.9" customHeight="1">
      <c r="A37" s="427"/>
      <c r="B37" s="339" t="s">
        <v>403</v>
      </c>
      <c r="C37" s="324" t="s">
        <v>378</v>
      </c>
      <c r="D37" s="344">
        <v>2</v>
      </c>
      <c r="E37" s="363"/>
      <c r="F37" s="342">
        <f>E37*D37</f>
        <v>0</v>
      </c>
      <c r="G37" s="424"/>
    </row>
    <row r="38" spans="1:7" ht="37.9" customHeight="1">
      <c r="A38" s="427"/>
      <c r="B38" s="426" t="s">
        <v>404</v>
      </c>
      <c r="C38" s="426"/>
      <c r="D38" s="426"/>
      <c r="E38" s="426"/>
      <c r="F38" s="426"/>
      <c r="G38" s="424"/>
    </row>
    <row r="39" spans="1:7" ht="34.9" customHeight="1">
      <c r="A39" s="427"/>
      <c r="B39" s="339" t="s">
        <v>405</v>
      </c>
      <c r="C39" s="347" t="s">
        <v>383</v>
      </c>
      <c r="D39" s="348">
        <f>G4*2</f>
        <v>1510</v>
      </c>
      <c r="E39" s="349"/>
      <c r="F39" s="345">
        <f>E39*(D39)*3</f>
        <v>0</v>
      </c>
      <c r="G39" s="424"/>
    </row>
    <row r="40" spans="1:7" ht="34.9" customHeight="1">
      <c r="A40" s="427"/>
      <c r="B40" s="364" t="s">
        <v>406</v>
      </c>
      <c r="C40" s="357" t="s">
        <v>383</v>
      </c>
      <c r="D40" s="348">
        <f>G4*2</f>
        <v>1510</v>
      </c>
      <c r="E40" s="349"/>
      <c r="F40" s="345">
        <f>E40*D40</f>
        <v>0</v>
      </c>
      <c r="G40" s="424"/>
    </row>
    <row r="41" spans="1:7" ht="34.9" customHeight="1">
      <c r="A41" s="427"/>
      <c r="B41" s="339" t="s">
        <v>407</v>
      </c>
      <c r="C41" s="347" t="s">
        <v>383</v>
      </c>
      <c r="D41" s="344">
        <v>3</v>
      </c>
      <c r="E41" s="363"/>
      <c r="F41" s="345">
        <f>E41*D41</f>
        <v>0</v>
      </c>
      <c r="G41" s="424"/>
    </row>
    <row r="42" spans="1:7" ht="37.9" customHeight="1">
      <c r="A42" s="427"/>
      <c r="B42" s="426" t="s">
        <v>408</v>
      </c>
      <c r="C42" s="426"/>
      <c r="D42" s="426"/>
      <c r="E42" s="426"/>
      <c r="F42" s="426"/>
      <c r="G42" s="424"/>
    </row>
    <row r="43" spans="1:7" ht="34.9" customHeight="1">
      <c r="A43" s="427"/>
      <c r="B43" s="365" t="s">
        <v>409</v>
      </c>
      <c r="C43" s="324" t="s">
        <v>383</v>
      </c>
      <c r="D43" s="344">
        <f>G4*1</f>
        <v>755</v>
      </c>
      <c r="E43" s="349"/>
      <c r="F43" s="345">
        <f>E43*(D43)*5</f>
        <v>0</v>
      </c>
      <c r="G43" s="424"/>
    </row>
    <row r="44" spans="1:7" ht="34.9" customHeight="1">
      <c r="A44" s="427"/>
      <c r="B44" s="339" t="s">
        <v>410</v>
      </c>
      <c r="C44" s="361" t="s">
        <v>402</v>
      </c>
      <c r="D44" s="362">
        <v>1</v>
      </c>
      <c r="E44" s="349"/>
      <c r="F44" s="342">
        <f>E44*1</f>
        <v>0</v>
      </c>
      <c r="G44" s="424"/>
    </row>
    <row r="45" spans="1:7" ht="34.9" customHeight="1">
      <c r="A45" s="427"/>
      <c r="B45" s="339" t="s">
        <v>411</v>
      </c>
      <c r="C45" s="324" t="s">
        <v>378</v>
      </c>
      <c r="D45" s="344">
        <v>2</v>
      </c>
      <c r="E45" s="363"/>
      <c r="F45" s="345">
        <f>E45*D45</f>
        <v>0</v>
      </c>
      <c r="G45" s="429"/>
    </row>
    <row r="46" spans="1:7" ht="45" customHeight="1">
      <c r="A46" s="418">
        <v>7</v>
      </c>
      <c r="B46" s="420" t="s">
        <v>412</v>
      </c>
      <c r="C46" s="421"/>
      <c r="D46" s="421"/>
      <c r="E46" s="421"/>
      <c r="F46" s="422"/>
      <c r="G46" s="423">
        <f>SUM(F47:F50)</f>
        <v>0</v>
      </c>
    </row>
    <row r="47" spans="1:7" ht="42" customHeight="1">
      <c r="A47" s="419"/>
      <c r="B47" s="339" t="s">
        <v>413</v>
      </c>
      <c r="C47" s="324" t="s">
        <v>383</v>
      </c>
      <c r="D47" s="344">
        <v>757</v>
      </c>
      <c r="E47" s="349"/>
      <c r="F47" s="345">
        <f>E47*(D47*5)</f>
        <v>0</v>
      </c>
      <c r="G47" s="424"/>
    </row>
    <row r="48" spans="1:7" ht="34.9" customHeight="1">
      <c r="A48" s="419"/>
      <c r="B48" s="339" t="s">
        <v>403</v>
      </c>
      <c r="C48" s="324" t="s">
        <v>378</v>
      </c>
      <c r="D48" s="344">
        <v>3</v>
      </c>
      <c r="E48" s="363"/>
      <c r="F48" s="342">
        <f>E48*D48</f>
        <v>0</v>
      </c>
      <c r="G48" s="424"/>
    </row>
    <row r="49" spans="1:7" ht="34.9" customHeight="1">
      <c r="A49" s="419"/>
      <c r="B49" s="366" t="s">
        <v>414</v>
      </c>
      <c r="C49" s="367" t="s">
        <v>383</v>
      </c>
      <c r="D49" s="368">
        <v>755</v>
      </c>
      <c r="E49" s="369"/>
      <c r="F49" s="341">
        <f>E49*D49</f>
        <v>0</v>
      </c>
      <c r="G49" s="424"/>
    </row>
    <row r="50" spans="1:7" ht="34.9" customHeight="1">
      <c r="A50" s="419"/>
      <c r="B50" s="339" t="s">
        <v>415</v>
      </c>
      <c r="C50" s="347" t="s">
        <v>383</v>
      </c>
      <c r="D50" s="344">
        <v>1</v>
      </c>
      <c r="E50" s="345"/>
      <c r="F50" s="349">
        <f>D50*E50</f>
        <v>0</v>
      </c>
      <c r="G50" s="424"/>
    </row>
    <row r="51" spans="1:7" ht="40.15" customHeight="1">
      <c r="A51" s="418">
        <v>8</v>
      </c>
      <c r="B51" s="420" t="s">
        <v>416</v>
      </c>
      <c r="C51" s="421"/>
      <c r="D51" s="421"/>
      <c r="E51" s="421"/>
      <c r="F51" s="422"/>
      <c r="G51" s="425">
        <f>SUM(F53:F63)</f>
        <v>0</v>
      </c>
    </row>
    <row r="52" spans="1:7" ht="37.9" customHeight="1">
      <c r="A52" s="419"/>
      <c r="B52" s="426" t="s">
        <v>417</v>
      </c>
      <c r="C52" s="426"/>
      <c r="D52" s="426"/>
      <c r="E52" s="426"/>
      <c r="F52" s="426"/>
      <c r="G52" s="425"/>
    </row>
    <row r="53" spans="1:7" ht="42" customHeight="1">
      <c r="A53" s="419"/>
      <c r="B53" s="343" t="s">
        <v>418</v>
      </c>
      <c r="C53" s="324" t="s">
        <v>378</v>
      </c>
      <c r="D53" s="344">
        <v>1</v>
      </c>
      <c r="E53" s="345"/>
      <c r="F53" s="370">
        <f t="shared" ref="F53:F59" si="4">E53*D53</f>
        <v>0</v>
      </c>
      <c r="G53" s="425"/>
    </row>
    <row r="54" spans="1:7" ht="34.9" customHeight="1">
      <c r="A54" s="419"/>
      <c r="B54" s="343" t="s">
        <v>419</v>
      </c>
      <c r="C54" s="371" t="s">
        <v>383</v>
      </c>
      <c r="D54" s="371">
        <v>1</v>
      </c>
      <c r="E54" s="345"/>
      <c r="F54" s="370">
        <f t="shared" si="4"/>
        <v>0</v>
      </c>
      <c r="G54" s="425"/>
    </row>
    <row r="55" spans="1:7" ht="42" customHeight="1">
      <c r="A55" s="419"/>
      <c r="B55" s="343" t="s">
        <v>420</v>
      </c>
      <c r="C55" s="371" t="s">
        <v>383</v>
      </c>
      <c r="D55" s="371">
        <v>1</v>
      </c>
      <c r="E55" s="345"/>
      <c r="F55" s="370">
        <f t="shared" si="4"/>
        <v>0</v>
      </c>
      <c r="G55" s="425"/>
    </row>
    <row r="56" spans="1:7" ht="34.9" customHeight="1">
      <c r="A56" s="419"/>
      <c r="B56" s="372" t="s">
        <v>421</v>
      </c>
      <c r="C56" s="371" t="s">
        <v>383</v>
      </c>
      <c r="D56" s="371">
        <v>1</v>
      </c>
      <c r="E56" s="373"/>
      <c r="F56" s="370">
        <f t="shared" si="4"/>
        <v>0</v>
      </c>
      <c r="G56" s="425"/>
    </row>
    <row r="57" spans="1:7" ht="34.9" customHeight="1">
      <c r="A57" s="419"/>
      <c r="B57" s="343" t="s">
        <v>422</v>
      </c>
      <c r="C57" s="371" t="s">
        <v>383</v>
      </c>
      <c r="D57" s="371">
        <v>5</v>
      </c>
      <c r="E57" s="345"/>
      <c r="F57" s="370">
        <f t="shared" si="4"/>
        <v>0</v>
      </c>
      <c r="G57" s="425"/>
    </row>
    <row r="58" spans="1:7" ht="34.9" customHeight="1">
      <c r="A58" s="419"/>
      <c r="B58" s="343" t="s">
        <v>423</v>
      </c>
      <c r="C58" s="371" t="s">
        <v>383</v>
      </c>
      <c r="D58" s="371">
        <v>1</v>
      </c>
      <c r="E58" s="345"/>
      <c r="F58" s="370">
        <f t="shared" si="4"/>
        <v>0</v>
      </c>
      <c r="G58" s="425"/>
    </row>
    <row r="59" spans="1:7" ht="34.9" customHeight="1">
      <c r="A59" s="419"/>
      <c r="B59" s="343" t="s">
        <v>424</v>
      </c>
      <c r="C59" s="371" t="s">
        <v>383</v>
      </c>
      <c r="D59" s="371">
        <v>1</v>
      </c>
      <c r="E59" s="345"/>
      <c r="F59" s="370">
        <f t="shared" si="4"/>
        <v>0</v>
      </c>
      <c r="G59" s="425"/>
    </row>
    <row r="60" spans="1:7" ht="37.9" customHeight="1">
      <c r="A60" s="419"/>
      <c r="B60" s="426" t="s">
        <v>425</v>
      </c>
      <c r="C60" s="426"/>
      <c r="D60" s="426"/>
      <c r="E60" s="426"/>
      <c r="F60" s="426"/>
      <c r="G60" s="425"/>
    </row>
    <row r="61" spans="1:7" ht="34.9" customHeight="1">
      <c r="A61" s="419"/>
      <c r="B61" s="339" t="s">
        <v>426</v>
      </c>
      <c r="C61" s="347" t="s">
        <v>383</v>
      </c>
      <c r="D61" s="344">
        <v>1</v>
      </c>
      <c r="E61" s="345"/>
      <c r="F61" s="374">
        <f t="shared" ref="F61:F63" si="5">D61*E61</f>
        <v>0</v>
      </c>
      <c r="G61" s="425"/>
    </row>
    <row r="62" spans="1:7" ht="34.9" customHeight="1">
      <c r="A62" s="419"/>
      <c r="B62" s="343" t="s">
        <v>427</v>
      </c>
      <c r="C62" s="371" t="s">
        <v>383</v>
      </c>
      <c r="D62" s="371">
        <v>1</v>
      </c>
      <c r="E62" s="375"/>
      <c r="F62" s="374">
        <f t="shared" si="5"/>
        <v>0</v>
      </c>
      <c r="G62" s="425"/>
    </row>
    <row r="63" spans="1:7" ht="34.9" customHeight="1">
      <c r="A63" s="419"/>
      <c r="B63" s="343" t="s">
        <v>428</v>
      </c>
      <c r="C63" s="371" t="s">
        <v>383</v>
      </c>
      <c r="D63" s="371">
        <v>1</v>
      </c>
      <c r="E63" s="375"/>
      <c r="F63" s="374">
        <f t="shared" si="5"/>
        <v>0</v>
      </c>
      <c r="G63" s="425"/>
    </row>
    <row r="64" spans="1:7" ht="39.75" customHeight="1">
      <c r="A64" s="376"/>
      <c r="B64" s="377"/>
      <c r="C64" s="377"/>
      <c r="D64" s="377"/>
      <c r="E64" s="414" t="s">
        <v>7</v>
      </c>
      <c r="F64" s="415"/>
      <c r="G64" s="378">
        <f>SUM(G7:G63)</f>
        <v>0</v>
      </c>
    </row>
    <row r="65" spans="5:7" ht="15" customHeight="1">
      <c r="E65" s="416" t="s">
        <v>429</v>
      </c>
      <c r="F65" s="417"/>
      <c r="G65" s="379">
        <f>G64/G4</f>
        <v>0</v>
      </c>
    </row>
  </sheetData>
  <mergeCells count="37">
    <mergeCell ref="A1:A3"/>
    <mergeCell ref="B1:G2"/>
    <mergeCell ref="B3:G3"/>
    <mergeCell ref="A4:E4"/>
    <mergeCell ref="A6:A16"/>
    <mergeCell ref="B6:G6"/>
    <mergeCell ref="G7:G10"/>
    <mergeCell ref="B11:F11"/>
    <mergeCell ref="G11:G16"/>
    <mergeCell ref="A17:A19"/>
    <mergeCell ref="B17:F17"/>
    <mergeCell ref="G17:G19"/>
    <mergeCell ref="A20:A22"/>
    <mergeCell ref="B20:F20"/>
    <mergeCell ref="G20:G22"/>
    <mergeCell ref="A23:A27"/>
    <mergeCell ref="B23:F23"/>
    <mergeCell ref="G23:G27"/>
    <mergeCell ref="A28:A32"/>
    <mergeCell ref="B28:F28"/>
    <mergeCell ref="G28:G32"/>
    <mergeCell ref="A33:A45"/>
    <mergeCell ref="B33:F33"/>
    <mergeCell ref="G33:G45"/>
    <mergeCell ref="B34:F34"/>
    <mergeCell ref="B38:F38"/>
    <mergeCell ref="B42:F42"/>
    <mergeCell ref="E64:F64"/>
    <mergeCell ref="E65:F65"/>
    <mergeCell ref="A46:A50"/>
    <mergeCell ref="B46:F46"/>
    <mergeCell ref="G46:G50"/>
    <mergeCell ref="A51:A63"/>
    <mergeCell ref="B51:F51"/>
    <mergeCell ref="G51:G63"/>
    <mergeCell ref="B52:F52"/>
    <mergeCell ref="B60:F60"/>
  </mergeCells>
  <pageMargins left="0.7" right="0.7" top="0.75" bottom="0.75" header="0.3" footer="0.3"/>
  <pageSetup scale="42"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97C9F-6854-4627-A486-EA7453643679}">
  <sheetPr>
    <tabColor rgb="FFFF0000"/>
    <pageSetUpPr fitToPage="1"/>
  </sheetPr>
  <dimension ref="A1:IV889"/>
  <sheetViews>
    <sheetView showGridLines="0" view="pageBreakPreview" zoomScale="60" zoomScaleNormal="85" workbookViewId="0">
      <selection activeCell="B1" sqref="B1:H1"/>
    </sheetView>
  </sheetViews>
  <sheetFormatPr baseColWidth="10" defaultColWidth="11" defaultRowHeight="13" outlineLevelRow="1"/>
  <cols>
    <col min="1" max="1" width="36.81640625" style="170" customWidth="1"/>
    <col min="2" max="2" width="11.26953125" style="179" customWidth="1"/>
    <col min="3" max="3" width="31.26953125" style="159" customWidth="1"/>
    <col min="4" max="4" width="9.81640625" style="203" customWidth="1"/>
    <col min="5" max="5" width="11.7265625" style="179" customWidth="1"/>
    <col min="6" max="6" width="16.54296875" style="179" customWidth="1"/>
    <col min="7" max="7" width="14.7265625" style="179" customWidth="1"/>
    <col min="8" max="8" width="14.54296875" style="179" bestFit="1" customWidth="1"/>
    <col min="9" max="9" width="14.54296875" style="179" hidden="1" customWidth="1"/>
    <col min="10" max="10" width="15.54296875" style="179" customWidth="1"/>
    <col min="11" max="11" width="13.81640625" style="170" bestFit="1" customWidth="1"/>
    <col min="12" max="12" width="0.81640625" style="170" customWidth="1"/>
    <col min="13" max="13" width="13.7265625" style="170" customWidth="1"/>
    <col min="14" max="14" width="14.26953125" style="170" customWidth="1"/>
    <col min="15" max="15" width="23.453125" style="179" customWidth="1"/>
    <col min="16" max="16" width="19.1796875" style="170" customWidth="1"/>
    <col min="17" max="17" width="15.81640625" style="171" customWidth="1"/>
    <col min="18" max="19" width="20.1796875" style="170" customWidth="1"/>
    <col min="20" max="20" width="17.26953125" style="170" customWidth="1"/>
    <col min="21" max="24" width="12.26953125" style="170" customWidth="1"/>
    <col min="25" max="25" width="11.26953125" style="170" customWidth="1"/>
    <col min="26" max="249" width="10.7265625" style="170" customWidth="1"/>
    <col min="250" max="250" width="14.26953125" style="170" bestFit="1" customWidth="1"/>
    <col min="251" max="252" width="10.7265625" style="170" customWidth="1"/>
    <col min="253" max="253" width="19.7265625" style="170" bestFit="1" customWidth="1"/>
    <col min="254" max="254" width="26.7265625" style="170" bestFit="1" customWidth="1"/>
    <col min="255" max="255" width="12.453125" style="179" bestFit="1" customWidth="1"/>
    <col min="256" max="256" width="11" style="179"/>
    <col min="257" max="257" width="36.81640625" style="179" customWidth="1"/>
    <col min="258" max="258" width="11.26953125" style="179" customWidth="1"/>
    <col min="259" max="259" width="31.26953125" style="179" customWidth="1"/>
    <col min="260" max="260" width="9.81640625" style="179" customWidth="1"/>
    <col min="261" max="261" width="11.7265625" style="179" customWidth="1"/>
    <col min="262" max="262" width="16.54296875" style="179" customWidth="1"/>
    <col min="263" max="263" width="14.7265625" style="179" customWidth="1"/>
    <col min="264" max="264" width="14.54296875" style="179" bestFit="1" customWidth="1"/>
    <col min="265" max="265" width="0" style="179" hidden="1" customWidth="1"/>
    <col min="266" max="266" width="15.54296875" style="179" customWidth="1"/>
    <col min="267" max="267" width="13.81640625" style="179" bestFit="1" customWidth="1"/>
    <col min="268" max="268" width="0.81640625" style="179" customWidth="1"/>
    <col min="269" max="269" width="13.7265625" style="179" customWidth="1"/>
    <col min="270" max="270" width="14.26953125" style="179" customWidth="1"/>
    <col min="271" max="271" width="23.453125" style="179" customWidth="1"/>
    <col min="272" max="272" width="19.1796875" style="179" customWidth="1"/>
    <col min="273" max="273" width="15.81640625" style="179" customWidth="1"/>
    <col min="274" max="275" width="20.1796875" style="179" customWidth="1"/>
    <col min="276" max="276" width="17.26953125" style="179" customWidth="1"/>
    <col min="277" max="280" width="12.26953125" style="179" customWidth="1"/>
    <col min="281" max="281" width="11.26953125" style="179" customWidth="1"/>
    <col min="282" max="505" width="10.7265625" style="179" customWidth="1"/>
    <col min="506" max="506" width="14.26953125" style="179" bestFit="1" customWidth="1"/>
    <col min="507" max="508" width="10.7265625" style="179" customWidth="1"/>
    <col min="509" max="509" width="19.7265625" style="179" bestFit="1" customWidth="1"/>
    <col min="510" max="510" width="26.7265625" style="179" bestFit="1" customWidth="1"/>
    <col min="511" max="511" width="12.453125" style="179" bestFit="1" customWidth="1"/>
    <col min="512" max="512" width="11" style="179"/>
    <col min="513" max="513" width="36.81640625" style="179" customWidth="1"/>
    <col min="514" max="514" width="11.26953125" style="179" customWidth="1"/>
    <col min="515" max="515" width="31.26953125" style="179" customWidth="1"/>
    <col min="516" max="516" width="9.81640625" style="179" customWidth="1"/>
    <col min="517" max="517" width="11.7265625" style="179" customWidth="1"/>
    <col min="518" max="518" width="16.54296875" style="179" customWidth="1"/>
    <col min="519" max="519" width="14.7265625" style="179" customWidth="1"/>
    <col min="520" max="520" width="14.54296875" style="179" bestFit="1" customWidth="1"/>
    <col min="521" max="521" width="0" style="179" hidden="1" customWidth="1"/>
    <col min="522" max="522" width="15.54296875" style="179" customWidth="1"/>
    <col min="523" max="523" width="13.81640625" style="179" bestFit="1" customWidth="1"/>
    <col min="524" max="524" width="0.81640625" style="179" customWidth="1"/>
    <col min="525" max="525" width="13.7265625" style="179" customWidth="1"/>
    <col min="526" max="526" width="14.26953125" style="179" customWidth="1"/>
    <col min="527" max="527" width="23.453125" style="179" customWidth="1"/>
    <col min="528" max="528" width="19.1796875" style="179" customWidth="1"/>
    <col min="529" max="529" width="15.81640625" style="179" customWidth="1"/>
    <col min="530" max="531" width="20.1796875" style="179" customWidth="1"/>
    <col min="532" max="532" width="17.26953125" style="179" customWidth="1"/>
    <col min="533" max="536" width="12.26953125" style="179" customWidth="1"/>
    <col min="537" max="537" width="11.26953125" style="179" customWidth="1"/>
    <col min="538" max="761" width="10.7265625" style="179" customWidth="1"/>
    <col min="762" max="762" width="14.26953125" style="179" bestFit="1" customWidth="1"/>
    <col min="763" max="764" width="10.7265625" style="179" customWidth="1"/>
    <col min="765" max="765" width="19.7265625" style="179" bestFit="1" customWidth="1"/>
    <col min="766" max="766" width="26.7265625" style="179" bestFit="1" customWidth="1"/>
    <col min="767" max="767" width="12.453125" style="179" bestFit="1" customWidth="1"/>
    <col min="768" max="768" width="11" style="179"/>
    <col min="769" max="769" width="36.81640625" style="179" customWidth="1"/>
    <col min="770" max="770" width="11.26953125" style="179" customWidth="1"/>
    <col min="771" max="771" width="31.26953125" style="179" customWidth="1"/>
    <col min="772" max="772" width="9.81640625" style="179" customWidth="1"/>
    <col min="773" max="773" width="11.7265625" style="179" customWidth="1"/>
    <col min="774" max="774" width="16.54296875" style="179" customWidth="1"/>
    <col min="775" max="775" width="14.7265625" style="179" customWidth="1"/>
    <col min="776" max="776" width="14.54296875" style="179" bestFit="1" customWidth="1"/>
    <col min="777" max="777" width="0" style="179" hidden="1" customWidth="1"/>
    <col min="778" max="778" width="15.54296875" style="179" customWidth="1"/>
    <col min="779" max="779" width="13.81640625" style="179" bestFit="1" customWidth="1"/>
    <col min="780" max="780" width="0.81640625" style="179" customWidth="1"/>
    <col min="781" max="781" width="13.7265625" style="179" customWidth="1"/>
    <col min="782" max="782" width="14.26953125" style="179" customWidth="1"/>
    <col min="783" max="783" width="23.453125" style="179" customWidth="1"/>
    <col min="784" max="784" width="19.1796875" style="179" customWidth="1"/>
    <col min="785" max="785" width="15.81640625" style="179" customWidth="1"/>
    <col min="786" max="787" width="20.1796875" style="179" customWidth="1"/>
    <col min="788" max="788" width="17.26953125" style="179" customWidth="1"/>
    <col min="789" max="792" width="12.26953125" style="179" customWidth="1"/>
    <col min="793" max="793" width="11.26953125" style="179" customWidth="1"/>
    <col min="794" max="1017" width="10.7265625" style="179" customWidth="1"/>
    <col min="1018" max="1018" width="14.26953125" style="179" bestFit="1" customWidth="1"/>
    <col min="1019" max="1020" width="10.7265625" style="179" customWidth="1"/>
    <col min="1021" max="1021" width="19.7265625" style="179" bestFit="1" customWidth="1"/>
    <col min="1022" max="1022" width="26.7265625" style="179" bestFit="1" customWidth="1"/>
    <col min="1023" max="1023" width="12.453125" style="179" bestFit="1" customWidth="1"/>
    <col min="1024" max="1024" width="11" style="179"/>
    <col min="1025" max="1025" width="36.81640625" style="179" customWidth="1"/>
    <col min="1026" max="1026" width="11.26953125" style="179" customWidth="1"/>
    <col min="1027" max="1027" width="31.26953125" style="179" customWidth="1"/>
    <col min="1028" max="1028" width="9.81640625" style="179" customWidth="1"/>
    <col min="1029" max="1029" width="11.7265625" style="179" customWidth="1"/>
    <col min="1030" max="1030" width="16.54296875" style="179" customWidth="1"/>
    <col min="1031" max="1031" width="14.7265625" style="179" customWidth="1"/>
    <col min="1032" max="1032" width="14.54296875" style="179" bestFit="1" customWidth="1"/>
    <col min="1033" max="1033" width="0" style="179" hidden="1" customWidth="1"/>
    <col min="1034" max="1034" width="15.54296875" style="179" customWidth="1"/>
    <col min="1035" max="1035" width="13.81640625" style="179" bestFit="1" customWidth="1"/>
    <col min="1036" max="1036" width="0.81640625" style="179" customWidth="1"/>
    <col min="1037" max="1037" width="13.7265625" style="179" customWidth="1"/>
    <col min="1038" max="1038" width="14.26953125" style="179" customWidth="1"/>
    <col min="1039" max="1039" width="23.453125" style="179" customWidth="1"/>
    <col min="1040" max="1040" width="19.1796875" style="179" customWidth="1"/>
    <col min="1041" max="1041" width="15.81640625" style="179" customWidth="1"/>
    <col min="1042" max="1043" width="20.1796875" style="179" customWidth="1"/>
    <col min="1044" max="1044" width="17.26953125" style="179" customWidth="1"/>
    <col min="1045" max="1048" width="12.26953125" style="179" customWidth="1"/>
    <col min="1049" max="1049" width="11.26953125" style="179" customWidth="1"/>
    <col min="1050" max="1273" width="10.7265625" style="179" customWidth="1"/>
    <col min="1274" max="1274" width="14.26953125" style="179" bestFit="1" customWidth="1"/>
    <col min="1275" max="1276" width="10.7265625" style="179" customWidth="1"/>
    <col min="1277" max="1277" width="19.7265625" style="179" bestFit="1" customWidth="1"/>
    <col min="1278" max="1278" width="26.7265625" style="179" bestFit="1" customWidth="1"/>
    <col min="1279" max="1279" width="12.453125" style="179" bestFit="1" customWidth="1"/>
    <col min="1280" max="1280" width="11" style="179"/>
    <col min="1281" max="1281" width="36.81640625" style="179" customWidth="1"/>
    <col min="1282" max="1282" width="11.26953125" style="179" customWidth="1"/>
    <col min="1283" max="1283" width="31.26953125" style="179" customWidth="1"/>
    <col min="1284" max="1284" width="9.81640625" style="179" customWidth="1"/>
    <col min="1285" max="1285" width="11.7265625" style="179" customWidth="1"/>
    <col min="1286" max="1286" width="16.54296875" style="179" customWidth="1"/>
    <col min="1287" max="1287" width="14.7265625" style="179" customWidth="1"/>
    <col min="1288" max="1288" width="14.54296875" style="179" bestFit="1" customWidth="1"/>
    <col min="1289" max="1289" width="0" style="179" hidden="1" customWidth="1"/>
    <col min="1290" max="1290" width="15.54296875" style="179" customWidth="1"/>
    <col min="1291" max="1291" width="13.81640625" style="179" bestFit="1" customWidth="1"/>
    <col min="1292" max="1292" width="0.81640625" style="179" customWidth="1"/>
    <col min="1293" max="1293" width="13.7265625" style="179" customWidth="1"/>
    <col min="1294" max="1294" width="14.26953125" style="179" customWidth="1"/>
    <col min="1295" max="1295" width="23.453125" style="179" customWidth="1"/>
    <col min="1296" max="1296" width="19.1796875" style="179" customWidth="1"/>
    <col min="1297" max="1297" width="15.81640625" style="179" customWidth="1"/>
    <col min="1298" max="1299" width="20.1796875" style="179" customWidth="1"/>
    <col min="1300" max="1300" width="17.26953125" style="179" customWidth="1"/>
    <col min="1301" max="1304" width="12.26953125" style="179" customWidth="1"/>
    <col min="1305" max="1305" width="11.26953125" style="179" customWidth="1"/>
    <col min="1306" max="1529" width="10.7265625" style="179" customWidth="1"/>
    <col min="1530" max="1530" width="14.26953125" style="179" bestFit="1" customWidth="1"/>
    <col min="1531" max="1532" width="10.7265625" style="179" customWidth="1"/>
    <col min="1533" max="1533" width="19.7265625" style="179" bestFit="1" customWidth="1"/>
    <col min="1534" max="1534" width="26.7265625" style="179" bestFit="1" customWidth="1"/>
    <col min="1535" max="1535" width="12.453125" style="179" bestFit="1" customWidth="1"/>
    <col min="1536" max="1536" width="11" style="179"/>
    <col min="1537" max="1537" width="36.81640625" style="179" customWidth="1"/>
    <col min="1538" max="1538" width="11.26953125" style="179" customWidth="1"/>
    <col min="1539" max="1539" width="31.26953125" style="179" customWidth="1"/>
    <col min="1540" max="1540" width="9.81640625" style="179" customWidth="1"/>
    <col min="1541" max="1541" width="11.7265625" style="179" customWidth="1"/>
    <col min="1542" max="1542" width="16.54296875" style="179" customWidth="1"/>
    <col min="1543" max="1543" width="14.7265625" style="179" customWidth="1"/>
    <col min="1544" max="1544" width="14.54296875" style="179" bestFit="1" customWidth="1"/>
    <col min="1545" max="1545" width="0" style="179" hidden="1" customWidth="1"/>
    <col min="1546" max="1546" width="15.54296875" style="179" customWidth="1"/>
    <col min="1547" max="1547" width="13.81640625" style="179" bestFit="1" customWidth="1"/>
    <col min="1548" max="1548" width="0.81640625" style="179" customWidth="1"/>
    <col min="1549" max="1549" width="13.7265625" style="179" customWidth="1"/>
    <col min="1550" max="1550" width="14.26953125" style="179" customWidth="1"/>
    <col min="1551" max="1551" width="23.453125" style="179" customWidth="1"/>
    <col min="1552" max="1552" width="19.1796875" style="179" customWidth="1"/>
    <col min="1553" max="1553" width="15.81640625" style="179" customWidth="1"/>
    <col min="1554" max="1555" width="20.1796875" style="179" customWidth="1"/>
    <col min="1556" max="1556" width="17.26953125" style="179" customWidth="1"/>
    <col min="1557" max="1560" width="12.26953125" style="179" customWidth="1"/>
    <col min="1561" max="1561" width="11.26953125" style="179" customWidth="1"/>
    <col min="1562" max="1785" width="10.7265625" style="179" customWidth="1"/>
    <col min="1786" max="1786" width="14.26953125" style="179" bestFit="1" customWidth="1"/>
    <col min="1787" max="1788" width="10.7265625" style="179" customWidth="1"/>
    <col min="1789" max="1789" width="19.7265625" style="179" bestFit="1" customWidth="1"/>
    <col min="1790" max="1790" width="26.7265625" style="179" bestFit="1" customWidth="1"/>
    <col min="1791" max="1791" width="12.453125" style="179" bestFit="1" customWidth="1"/>
    <col min="1792" max="1792" width="11" style="179"/>
    <col min="1793" max="1793" width="36.81640625" style="179" customWidth="1"/>
    <col min="1794" max="1794" width="11.26953125" style="179" customWidth="1"/>
    <col min="1795" max="1795" width="31.26953125" style="179" customWidth="1"/>
    <col min="1796" max="1796" width="9.81640625" style="179" customWidth="1"/>
    <col min="1797" max="1797" width="11.7265625" style="179" customWidth="1"/>
    <col min="1798" max="1798" width="16.54296875" style="179" customWidth="1"/>
    <col min="1799" max="1799" width="14.7265625" style="179" customWidth="1"/>
    <col min="1800" max="1800" width="14.54296875" style="179" bestFit="1" customWidth="1"/>
    <col min="1801" max="1801" width="0" style="179" hidden="1" customWidth="1"/>
    <col min="1802" max="1802" width="15.54296875" style="179" customWidth="1"/>
    <col min="1803" max="1803" width="13.81640625" style="179" bestFit="1" customWidth="1"/>
    <col min="1804" max="1804" width="0.81640625" style="179" customWidth="1"/>
    <col min="1805" max="1805" width="13.7265625" style="179" customWidth="1"/>
    <col min="1806" max="1806" width="14.26953125" style="179" customWidth="1"/>
    <col min="1807" max="1807" width="23.453125" style="179" customWidth="1"/>
    <col min="1808" max="1808" width="19.1796875" style="179" customWidth="1"/>
    <col min="1809" max="1809" width="15.81640625" style="179" customWidth="1"/>
    <col min="1810" max="1811" width="20.1796875" style="179" customWidth="1"/>
    <col min="1812" max="1812" width="17.26953125" style="179" customWidth="1"/>
    <col min="1813" max="1816" width="12.26953125" style="179" customWidth="1"/>
    <col min="1817" max="1817" width="11.26953125" style="179" customWidth="1"/>
    <col min="1818" max="2041" width="10.7265625" style="179" customWidth="1"/>
    <col min="2042" max="2042" width="14.26953125" style="179" bestFit="1" customWidth="1"/>
    <col min="2043" max="2044" width="10.7265625" style="179" customWidth="1"/>
    <col min="2045" max="2045" width="19.7265625" style="179" bestFit="1" customWidth="1"/>
    <col min="2046" max="2046" width="26.7265625" style="179" bestFit="1" customWidth="1"/>
    <col min="2047" max="2047" width="12.453125" style="179" bestFit="1" customWidth="1"/>
    <col min="2048" max="2048" width="11" style="179"/>
    <col min="2049" max="2049" width="36.81640625" style="179" customWidth="1"/>
    <col min="2050" max="2050" width="11.26953125" style="179" customWidth="1"/>
    <col min="2051" max="2051" width="31.26953125" style="179" customWidth="1"/>
    <col min="2052" max="2052" width="9.81640625" style="179" customWidth="1"/>
    <col min="2053" max="2053" width="11.7265625" style="179" customWidth="1"/>
    <col min="2054" max="2054" width="16.54296875" style="179" customWidth="1"/>
    <col min="2055" max="2055" width="14.7265625" style="179" customWidth="1"/>
    <col min="2056" max="2056" width="14.54296875" style="179" bestFit="1" customWidth="1"/>
    <col min="2057" max="2057" width="0" style="179" hidden="1" customWidth="1"/>
    <col min="2058" max="2058" width="15.54296875" style="179" customWidth="1"/>
    <col min="2059" max="2059" width="13.81640625" style="179" bestFit="1" customWidth="1"/>
    <col min="2060" max="2060" width="0.81640625" style="179" customWidth="1"/>
    <col min="2061" max="2061" width="13.7265625" style="179" customWidth="1"/>
    <col min="2062" max="2062" width="14.26953125" style="179" customWidth="1"/>
    <col min="2063" max="2063" width="23.453125" style="179" customWidth="1"/>
    <col min="2064" max="2064" width="19.1796875" style="179" customWidth="1"/>
    <col min="2065" max="2065" width="15.81640625" style="179" customWidth="1"/>
    <col min="2066" max="2067" width="20.1796875" style="179" customWidth="1"/>
    <col min="2068" max="2068" width="17.26953125" style="179" customWidth="1"/>
    <col min="2069" max="2072" width="12.26953125" style="179" customWidth="1"/>
    <col min="2073" max="2073" width="11.26953125" style="179" customWidth="1"/>
    <col min="2074" max="2297" width="10.7265625" style="179" customWidth="1"/>
    <col min="2298" max="2298" width="14.26953125" style="179" bestFit="1" customWidth="1"/>
    <col min="2299" max="2300" width="10.7265625" style="179" customWidth="1"/>
    <col min="2301" max="2301" width="19.7265625" style="179" bestFit="1" customWidth="1"/>
    <col min="2302" max="2302" width="26.7265625" style="179" bestFit="1" customWidth="1"/>
    <col min="2303" max="2303" width="12.453125" style="179" bestFit="1" customWidth="1"/>
    <col min="2304" max="2304" width="11" style="179"/>
    <col min="2305" max="2305" width="36.81640625" style="179" customWidth="1"/>
    <col min="2306" max="2306" width="11.26953125" style="179" customWidth="1"/>
    <col min="2307" max="2307" width="31.26953125" style="179" customWidth="1"/>
    <col min="2308" max="2308" width="9.81640625" style="179" customWidth="1"/>
    <col min="2309" max="2309" width="11.7265625" style="179" customWidth="1"/>
    <col min="2310" max="2310" width="16.54296875" style="179" customWidth="1"/>
    <col min="2311" max="2311" width="14.7265625" style="179" customWidth="1"/>
    <col min="2312" max="2312" width="14.54296875" style="179" bestFit="1" customWidth="1"/>
    <col min="2313" max="2313" width="0" style="179" hidden="1" customWidth="1"/>
    <col min="2314" max="2314" width="15.54296875" style="179" customWidth="1"/>
    <col min="2315" max="2315" width="13.81640625" style="179" bestFit="1" customWidth="1"/>
    <col min="2316" max="2316" width="0.81640625" style="179" customWidth="1"/>
    <col min="2317" max="2317" width="13.7265625" style="179" customWidth="1"/>
    <col min="2318" max="2318" width="14.26953125" style="179" customWidth="1"/>
    <col min="2319" max="2319" width="23.453125" style="179" customWidth="1"/>
    <col min="2320" max="2320" width="19.1796875" style="179" customWidth="1"/>
    <col min="2321" max="2321" width="15.81640625" style="179" customWidth="1"/>
    <col min="2322" max="2323" width="20.1796875" style="179" customWidth="1"/>
    <col min="2324" max="2324" width="17.26953125" style="179" customWidth="1"/>
    <col min="2325" max="2328" width="12.26953125" style="179" customWidth="1"/>
    <col min="2329" max="2329" width="11.26953125" style="179" customWidth="1"/>
    <col min="2330" max="2553" width="10.7265625" style="179" customWidth="1"/>
    <col min="2554" max="2554" width="14.26953125" style="179" bestFit="1" customWidth="1"/>
    <col min="2555" max="2556" width="10.7265625" style="179" customWidth="1"/>
    <col min="2557" max="2557" width="19.7265625" style="179" bestFit="1" customWidth="1"/>
    <col min="2558" max="2558" width="26.7265625" style="179" bestFit="1" customWidth="1"/>
    <col min="2559" max="2559" width="12.453125" style="179" bestFit="1" customWidth="1"/>
    <col min="2560" max="2560" width="11" style="179"/>
    <col min="2561" max="2561" width="36.81640625" style="179" customWidth="1"/>
    <col min="2562" max="2562" width="11.26953125" style="179" customWidth="1"/>
    <col min="2563" max="2563" width="31.26953125" style="179" customWidth="1"/>
    <col min="2564" max="2564" width="9.81640625" style="179" customWidth="1"/>
    <col min="2565" max="2565" width="11.7265625" style="179" customWidth="1"/>
    <col min="2566" max="2566" width="16.54296875" style="179" customWidth="1"/>
    <col min="2567" max="2567" width="14.7265625" style="179" customWidth="1"/>
    <col min="2568" max="2568" width="14.54296875" style="179" bestFit="1" customWidth="1"/>
    <col min="2569" max="2569" width="0" style="179" hidden="1" customWidth="1"/>
    <col min="2570" max="2570" width="15.54296875" style="179" customWidth="1"/>
    <col min="2571" max="2571" width="13.81640625" style="179" bestFit="1" customWidth="1"/>
    <col min="2572" max="2572" width="0.81640625" style="179" customWidth="1"/>
    <col min="2573" max="2573" width="13.7265625" style="179" customWidth="1"/>
    <col min="2574" max="2574" width="14.26953125" style="179" customWidth="1"/>
    <col min="2575" max="2575" width="23.453125" style="179" customWidth="1"/>
    <col min="2576" max="2576" width="19.1796875" style="179" customWidth="1"/>
    <col min="2577" max="2577" width="15.81640625" style="179" customWidth="1"/>
    <col min="2578" max="2579" width="20.1796875" style="179" customWidth="1"/>
    <col min="2580" max="2580" width="17.26953125" style="179" customWidth="1"/>
    <col min="2581" max="2584" width="12.26953125" style="179" customWidth="1"/>
    <col min="2585" max="2585" width="11.26953125" style="179" customWidth="1"/>
    <col min="2586" max="2809" width="10.7265625" style="179" customWidth="1"/>
    <col min="2810" max="2810" width="14.26953125" style="179" bestFit="1" customWidth="1"/>
    <col min="2811" max="2812" width="10.7265625" style="179" customWidth="1"/>
    <col min="2813" max="2813" width="19.7265625" style="179" bestFit="1" customWidth="1"/>
    <col min="2814" max="2814" width="26.7265625" style="179" bestFit="1" customWidth="1"/>
    <col min="2815" max="2815" width="12.453125" style="179" bestFit="1" customWidth="1"/>
    <col min="2816" max="2816" width="11" style="179"/>
    <col min="2817" max="2817" width="36.81640625" style="179" customWidth="1"/>
    <col min="2818" max="2818" width="11.26953125" style="179" customWidth="1"/>
    <col min="2819" max="2819" width="31.26953125" style="179" customWidth="1"/>
    <col min="2820" max="2820" width="9.81640625" style="179" customWidth="1"/>
    <col min="2821" max="2821" width="11.7265625" style="179" customWidth="1"/>
    <col min="2822" max="2822" width="16.54296875" style="179" customWidth="1"/>
    <col min="2823" max="2823" width="14.7265625" style="179" customWidth="1"/>
    <col min="2824" max="2824" width="14.54296875" style="179" bestFit="1" customWidth="1"/>
    <col min="2825" max="2825" width="0" style="179" hidden="1" customWidth="1"/>
    <col min="2826" max="2826" width="15.54296875" style="179" customWidth="1"/>
    <col min="2827" max="2827" width="13.81640625" style="179" bestFit="1" customWidth="1"/>
    <col min="2828" max="2828" width="0.81640625" style="179" customWidth="1"/>
    <col min="2829" max="2829" width="13.7265625" style="179" customWidth="1"/>
    <col min="2830" max="2830" width="14.26953125" style="179" customWidth="1"/>
    <col min="2831" max="2831" width="23.453125" style="179" customWidth="1"/>
    <col min="2832" max="2832" width="19.1796875" style="179" customWidth="1"/>
    <col min="2833" max="2833" width="15.81640625" style="179" customWidth="1"/>
    <col min="2834" max="2835" width="20.1796875" style="179" customWidth="1"/>
    <col min="2836" max="2836" width="17.26953125" style="179" customWidth="1"/>
    <col min="2837" max="2840" width="12.26953125" style="179" customWidth="1"/>
    <col min="2841" max="2841" width="11.26953125" style="179" customWidth="1"/>
    <col min="2842" max="3065" width="10.7265625" style="179" customWidth="1"/>
    <col min="3066" max="3066" width="14.26953125" style="179" bestFit="1" customWidth="1"/>
    <col min="3067" max="3068" width="10.7265625" style="179" customWidth="1"/>
    <col min="3069" max="3069" width="19.7265625" style="179" bestFit="1" customWidth="1"/>
    <col min="3070" max="3070" width="26.7265625" style="179" bestFit="1" customWidth="1"/>
    <col min="3071" max="3071" width="12.453125" style="179" bestFit="1" customWidth="1"/>
    <col min="3072" max="3072" width="11" style="179"/>
    <col min="3073" max="3073" width="36.81640625" style="179" customWidth="1"/>
    <col min="3074" max="3074" width="11.26953125" style="179" customWidth="1"/>
    <col min="3075" max="3075" width="31.26953125" style="179" customWidth="1"/>
    <col min="3076" max="3076" width="9.81640625" style="179" customWidth="1"/>
    <col min="3077" max="3077" width="11.7265625" style="179" customWidth="1"/>
    <col min="3078" max="3078" width="16.54296875" style="179" customWidth="1"/>
    <col min="3079" max="3079" width="14.7265625" style="179" customWidth="1"/>
    <col min="3080" max="3080" width="14.54296875" style="179" bestFit="1" customWidth="1"/>
    <col min="3081" max="3081" width="0" style="179" hidden="1" customWidth="1"/>
    <col min="3082" max="3082" width="15.54296875" style="179" customWidth="1"/>
    <col min="3083" max="3083" width="13.81640625" style="179" bestFit="1" customWidth="1"/>
    <col min="3084" max="3084" width="0.81640625" style="179" customWidth="1"/>
    <col min="3085" max="3085" width="13.7265625" style="179" customWidth="1"/>
    <col min="3086" max="3086" width="14.26953125" style="179" customWidth="1"/>
    <col min="3087" max="3087" width="23.453125" style="179" customWidth="1"/>
    <col min="3088" max="3088" width="19.1796875" style="179" customWidth="1"/>
    <col min="3089" max="3089" width="15.81640625" style="179" customWidth="1"/>
    <col min="3090" max="3091" width="20.1796875" style="179" customWidth="1"/>
    <col min="3092" max="3092" width="17.26953125" style="179" customWidth="1"/>
    <col min="3093" max="3096" width="12.26953125" style="179" customWidth="1"/>
    <col min="3097" max="3097" width="11.26953125" style="179" customWidth="1"/>
    <col min="3098" max="3321" width="10.7265625" style="179" customWidth="1"/>
    <col min="3322" max="3322" width="14.26953125" style="179" bestFit="1" customWidth="1"/>
    <col min="3323" max="3324" width="10.7265625" style="179" customWidth="1"/>
    <col min="3325" max="3325" width="19.7265625" style="179" bestFit="1" customWidth="1"/>
    <col min="3326" max="3326" width="26.7265625" style="179" bestFit="1" customWidth="1"/>
    <col min="3327" max="3327" width="12.453125" style="179" bestFit="1" customWidth="1"/>
    <col min="3328" max="3328" width="11" style="179"/>
    <col min="3329" max="3329" width="36.81640625" style="179" customWidth="1"/>
    <col min="3330" max="3330" width="11.26953125" style="179" customWidth="1"/>
    <col min="3331" max="3331" width="31.26953125" style="179" customWidth="1"/>
    <col min="3332" max="3332" width="9.81640625" style="179" customWidth="1"/>
    <col min="3333" max="3333" width="11.7265625" style="179" customWidth="1"/>
    <col min="3334" max="3334" width="16.54296875" style="179" customWidth="1"/>
    <col min="3335" max="3335" width="14.7265625" style="179" customWidth="1"/>
    <col min="3336" max="3336" width="14.54296875" style="179" bestFit="1" customWidth="1"/>
    <col min="3337" max="3337" width="0" style="179" hidden="1" customWidth="1"/>
    <col min="3338" max="3338" width="15.54296875" style="179" customWidth="1"/>
    <col min="3339" max="3339" width="13.81640625" style="179" bestFit="1" customWidth="1"/>
    <col min="3340" max="3340" width="0.81640625" style="179" customWidth="1"/>
    <col min="3341" max="3341" width="13.7265625" style="179" customWidth="1"/>
    <col min="3342" max="3342" width="14.26953125" style="179" customWidth="1"/>
    <col min="3343" max="3343" width="23.453125" style="179" customWidth="1"/>
    <col min="3344" max="3344" width="19.1796875" style="179" customWidth="1"/>
    <col min="3345" max="3345" width="15.81640625" style="179" customWidth="1"/>
    <col min="3346" max="3347" width="20.1796875" style="179" customWidth="1"/>
    <col min="3348" max="3348" width="17.26953125" style="179" customWidth="1"/>
    <col min="3349" max="3352" width="12.26953125" style="179" customWidth="1"/>
    <col min="3353" max="3353" width="11.26953125" style="179" customWidth="1"/>
    <col min="3354" max="3577" width="10.7265625" style="179" customWidth="1"/>
    <col min="3578" max="3578" width="14.26953125" style="179" bestFit="1" customWidth="1"/>
    <col min="3579" max="3580" width="10.7265625" style="179" customWidth="1"/>
    <col min="3581" max="3581" width="19.7265625" style="179" bestFit="1" customWidth="1"/>
    <col min="3582" max="3582" width="26.7265625" style="179" bestFit="1" customWidth="1"/>
    <col min="3583" max="3583" width="12.453125" style="179" bestFit="1" customWidth="1"/>
    <col min="3584" max="3584" width="11" style="179"/>
    <col min="3585" max="3585" width="36.81640625" style="179" customWidth="1"/>
    <col min="3586" max="3586" width="11.26953125" style="179" customWidth="1"/>
    <col min="3587" max="3587" width="31.26953125" style="179" customWidth="1"/>
    <col min="3588" max="3588" width="9.81640625" style="179" customWidth="1"/>
    <col min="3589" max="3589" width="11.7265625" style="179" customWidth="1"/>
    <col min="3590" max="3590" width="16.54296875" style="179" customWidth="1"/>
    <col min="3591" max="3591" width="14.7265625" style="179" customWidth="1"/>
    <col min="3592" max="3592" width="14.54296875" style="179" bestFit="1" customWidth="1"/>
    <col min="3593" max="3593" width="0" style="179" hidden="1" customWidth="1"/>
    <col min="3594" max="3594" width="15.54296875" style="179" customWidth="1"/>
    <col min="3595" max="3595" width="13.81640625" style="179" bestFit="1" customWidth="1"/>
    <col min="3596" max="3596" width="0.81640625" style="179" customWidth="1"/>
    <col min="3597" max="3597" width="13.7265625" style="179" customWidth="1"/>
    <col min="3598" max="3598" width="14.26953125" style="179" customWidth="1"/>
    <col min="3599" max="3599" width="23.453125" style="179" customWidth="1"/>
    <col min="3600" max="3600" width="19.1796875" style="179" customWidth="1"/>
    <col min="3601" max="3601" width="15.81640625" style="179" customWidth="1"/>
    <col min="3602" max="3603" width="20.1796875" style="179" customWidth="1"/>
    <col min="3604" max="3604" width="17.26953125" style="179" customWidth="1"/>
    <col min="3605" max="3608" width="12.26953125" style="179" customWidth="1"/>
    <col min="3609" max="3609" width="11.26953125" style="179" customWidth="1"/>
    <col min="3610" max="3833" width="10.7265625" style="179" customWidth="1"/>
    <col min="3834" max="3834" width="14.26953125" style="179" bestFit="1" customWidth="1"/>
    <col min="3835" max="3836" width="10.7265625" style="179" customWidth="1"/>
    <col min="3837" max="3837" width="19.7265625" style="179" bestFit="1" customWidth="1"/>
    <col min="3838" max="3838" width="26.7265625" style="179" bestFit="1" customWidth="1"/>
    <col min="3839" max="3839" width="12.453125" style="179" bestFit="1" customWidth="1"/>
    <col min="3840" max="3840" width="11" style="179"/>
    <col min="3841" max="3841" width="36.81640625" style="179" customWidth="1"/>
    <col min="3842" max="3842" width="11.26953125" style="179" customWidth="1"/>
    <col min="3843" max="3843" width="31.26953125" style="179" customWidth="1"/>
    <col min="3844" max="3844" width="9.81640625" style="179" customWidth="1"/>
    <col min="3845" max="3845" width="11.7265625" style="179" customWidth="1"/>
    <col min="3846" max="3846" width="16.54296875" style="179" customWidth="1"/>
    <col min="3847" max="3847" width="14.7265625" style="179" customWidth="1"/>
    <col min="3848" max="3848" width="14.54296875" style="179" bestFit="1" customWidth="1"/>
    <col min="3849" max="3849" width="0" style="179" hidden="1" customWidth="1"/>
    <col min="3850" max="3850" width="15.54296875" style="179" customWidth="1"/>
    <col min="3851" max="3851" width="13.81640625" style="179" bestFit="1" customWidth="1"/>
    <col min="3852" max="3852" width="0.81640625" style="179" customWidth="1"/>
    <col min="3853" max="3853" width="13.7265625" style="179" customWidth="1"/>
    <col min="3854" max="3854" width="14.26953125" style="179" customWidth="1"/>
    <col min="3855" max="3855" width="23.453125" style="179" customWidth="1"/>
    <col min="3856" max="3856" width="19.1796875" style="179" customWidth="1"/>
    <col min="3857" max="3857" width="15.81640625" style="179" customWidth="1"/>
    <col min="3858" max="3859" width="20.1796875" style="179" customWidth="1"/>
    <col min="3860" max="3860" width="17.26953125" style="179" customWidth="1"/>
    <col min="3861" max="3864" width="12.26953125" style="179" customWidth="1"/>
    <col min="3865" max="3865" width="11.26953125" style="179" customWidth="1"/>
    <col min="3866" max="4089" width="10.7265625" style="179" customWidth="1"/>
    <col min="4090" max="4090" width="14.26953125" style="179" bestFit="1" customWidth="1"/>
    <col min="4091" max="4092" width="10.7265625" style="179" customWidth="1"/>
    <col min="4093" max="4093" width="19.7265625" style="179" bestFit="1" customWidth="1"/>
    <col min="4094" max="4094" width="26.7265625" style="179" bestFit="1" customWidth="1"/>
    <col min="4095" max="4095" width="12.453125" style="179" bestFit="1" customWidth="1"/>
    <col min="4096" max="4096" width="11" style="179"/>
    <col min="4097" max="4097" width="36.81640625" style="179" customWidth="1"/>
    <col min="4098" max="4098" width="11.26953125" style="179" customWidth="1"/>
    <col min="4099" max="4099" width="31.26953125" style="179" customWidth="1"/>
    <col min="4100" max="4100" width="9.81640625" style="179" customWidth="1"/>
    <col min="4101" max="4101" width="11.7265625" style="179" customWidth="1"/>
    <col min="4102" max="4102" width="16.54296875" style="179" customWidth="1"/>
    <col min="4103" max="4103" width="14.7265625" style="179" customWidth="1"/>
    <col min="4104" max="4104" width="14.54296875" style="179" bestFit="1" customWidth="1"/>
    <col min="4105" max="4105" width="0" style="179" hidden="1" customWidth="1"/>
    <col min="4106" max="4106" width="15.54296875" style="179" customWidth="1"/>
    <col min="4107" max="4107" width="13.81640625" style="179" bestFit="1" customWidth="1"/>
    <col min="4108" max="4108" width="0.81640625" style="179" customWidth="1"/>
    <col min="4109" max="4109" width="13.7265625" style="179" customWidth="1"/>
    <col min="4110" max="4110" width="14.26953125" style="179" customWidth="1"/>
    <col min="4111" max="4111" width="23.453125" style="179" customWidth="1"/>
    <col min="4112" max="4112" width="19.1796875" style="179" customWidth="1"/>
    <col min="4113" max="4113" width="15.81640625" style="179" customWidth="1"/>
    <col min="4114" max="4115" width="20.1796875" style="179" customWidth="1"/>
    <col min="4116" max="4116" width="17.26953125" style="179" customWidth="1"/>
    <col min="4117" max="4120" width="12.26953125" style="179" customWidth="1"/>
    <col min="4121" max="4121" width="11.26953125" style="179" customWidth="1"/>
    <col min="4122" max="4345" width="10.7265625" style="179" customWidth="1"/>
    <col min="4346" max="4346" width="14.26953125" style="179" bestFit="1" customWidth="1"/>
    <col min="4347" max="4348" width="10.7265625" style="179" customWidth="1"/>
    <col min="4349" max="4349" width="19.7265625" style="179" bestFit="1" customWidth="1"/>
    <col min="4350" max="4350" width="26.7265625" style="179" bestFit="1" customWidth="1"/>
    <col min="4351" max="4351" width="12.453125" style="179" bestFit="1" customWidth="1"/>
    <col min="4352" max="4352" width="11" style="179"/>
    <col min="4353" max="4353" width="36.81640625" style="179" customWidth="1"/>
    <col min="4354" max="4354" width="11.26953125" style="179" customWidth="1"/>
    <col min="4355" max="4355" width="31.26953125" style="179" customWidth="1"/>
    <col min="4356" max="4356" width="9.81640625" style="179" customWidth="1"/>
    <col min="4357" max="4357" width="11.7265625" style="179" customWidth="1"/>
    <col min="4358" max="4358" width="16.54296875" style="179" customWidth="1"/>
    <col min="4359" max="4359" width="14.7265625" style="179" customWidth="1"/>
    <col min="4360" max="4360" width="14.54296875" style="179" bestFit="1" customWidth="1"/>
    <col min="4361" max="4361" width="0" style="179" hidden="1" customWidth="1"/>
    <col min="4362" max="4362" width="15.54296875" style="179" customWidth="1"/>
    <col min="4363" max="4363" width="13.81640625" style="179" bestFit="1" customWidth="1"/>
    <col min="4364" max="4364" width="0.81640625" style="179" customWidth="1"/>
    <col min="4365" max="4365" width="13.7265625" style="179" customWidth="1"/>
    <col min="4366" max="4366" width="14.26953125" style="179" customWidth="1"/>
    <col min="4367" max="4367" width="23.453125" style="179" customWidth="1"/>
    <col min="4368" max="4368" width="19.1796875" style="179" customWidth="1"/>
    <col min="4369" max="4369" width="15.81640625" style="179" customWidth="1"/>
    <col min="4370" max="4371" width="20.1796875" style="179" customWidth="1"/>
    <col min="4372" max="4372" width="17.26953125" style="179" customWidth="1"/>
    <col min="4373" max="4376" width="12.26953125" style="179" customWidth="1"/>
    <col min="4377" max="4377" width="11.26953125" style="179" customWidth="1"/>
    <col min="4378" max="4601" width="10.7265625" style="179" customWidth="1"/>
    <col min="4602" max="4602" width="14.26953125" style="179" bestFit="1" customWidth="1"/>
    <col min="4603" max="4604" width="10.7265625" style="179" customWidth="1"/>
    <col min="4605" max="4605" width="19.7265625" style="179" bestFit="1" customWidth="1"/>
    <col min="4606" max="4606" width="26.7265625" style="179" bestFit="1" customWidth="1"/>
    <col min="4607" max="4607" width="12.453125" style="179" bestFit="1" customWidth="1"/>
    <col min="4608" max="4608" width="11" style="179"/>
    <col min="4609" max="4609" width="36.81640625" style="179" customWidth="1"/>
    <col min="4610" max="4610" width="11.26953125" style="179" customWidth="1"/>
    <col min="4611" max="4611" width="31.26953125" style="179" customWidth="1"/>
    <col min="4612" max="4612" width="9.81640625" style="179" customWidth="1"/>
    <col min="4613" max="4613" width="11.7265625" style="179" customWidth="1"/>
    <col min="4614" max="4614" width="16.54296875" style="179" customWidth="1"/>
    <col min="4615" max="4615" width="14.7265625" style="179" customWidth="1"/>
    <col min="4616" max="4616" width="14.54296875" style="179" bestFit="1" customWidth="1"/>
    <col min="4617" max="4617" width="0" style="179" hidden="1" customWidth="1"/>
    <col min="4618" max="4618" width="15.54296875" style="179" customWidth="1"/>
    <col min="4619" max="4619" width="13.81640625" style="179" bestFit="1" customWidth="1"/>
    <col min="4620" max="4620" width="0.81640625" style="179" customWidth="1"/>
    <col min="4621" max="4621" width="13.7265625" style="179" customWidth="1"/>
    <col min="4622" max="4622" width="14.26953125" style="179" customWidth="1"/>
    <col min="4623" max="4623" width="23.453125" style="179" customWidth="1"/>
    <col min="4624" max="4624" width="19.1796875" style="179" customWidth="1"/>
    <col min="4625" max="4625" width="15.81640625" style="179" customWidth="1"/>
    <col min="4626" max="4627" width="20.1796875" style="179" customWidth="1"/>
    <col min="4628" max="4628" width="17.26953125" style="179" customWidth="1"/>
    <col min="4629" max="4632" width="12.26953125" style="179" customWidth="1"/>
    <col min="4633" max="4633" width="11.26953125" style="179" customWidth="1"/>
    <col min="4634" max="4857" width="10.7265625" style="179" customWidth="1"/>
    <col min="4858" max="4858" width="14.26953125" style="179" bestFit="1" customWidth="1"/>
    <col min="4859" max="4860" width="10.7265625" style="179" customWidth="1"/>
    <col min="4861" max="4861" width="19.7265625" style="179" bestFit="1" customWidth="1"/>
    <col min="4862" max="4862" width="26.7265625" style="179" bestFit="1" customWidth="1"/>
    <col min="4863" max="4863" width="12.453125" style="179" bestFit="1" customWidth="1"/>
    <col min="4864" max="4864" width="11" style="179"/>
    <col min="4865" max="4865" width="36.81640625" style="179" customWidth="1"/>
    <col min="4866" max="4866" width="11.26953125" style="179" customWidth="1"/>
    <col min="4867" max="4867" width="31.26953125" style="179" customWidth="1"/>
    <col min="4868" max="4868" width="9.81640625" style="179" customWidth="1"/>
    <col min="4869" max="4869" width="11.7265625" style="179" customWidth="1"/>
    <col min="4870" max="4870" width="16.54296875" style="179" customWidth="1"/>
    <col min="4871" max="4871" width="14.7265625" style="179" customWidth="1"/>
    <col min="4872" max="4872" width="14.54296875" style="179" bestFit="1" customWidth="1"/>
    <col min="4873" max="4873" width="0" style="179" hidden="1" customWidth="1"/>
    <col min="4874" max="4874" width="15.54296875" style="179" customWidth="1"/>
    <col min="4875" max="4875" width="13.81640625" style="179" bestFit="1" customWidth="1"/>
    <col min="4876" max="4876" width="0.81640625" style="179" customWidth="1"/>
    <col min="4877" max="4877" width="13.7265625" style="179" customWidth="1"/>
    <col min="4878" max="4878" width="14.26953125" style="179" customWidth="1"/>
    <col min="4879" max="4879" width="23.453125" style="179" customWidth="1"/>
    <col min="4880" max="4880" width="19.1796875" style="179" customWidth="1"/>
    <col min="4881" max="4881" width="15.81640625" style="179" customWidth="1"/>
    <col min="4882" max="4883" width="20.1796875" style="179" customWidth="1"/>
    <col min="4884" max="4884" width="17.26953125" style="179" customWidth="1"/>
    <col min="4885" max="4888" width="12.26953125" style="179" customWidth="1"/>
    <col min="4889" max="4889" width="11.26953125" style="179" customWidth="1"/>
    <col min="4890" max="5113" width="10.7265625" style="179" customWidth="1"/>
    <col min="5114" max="5114" width="14.26953125" style="179" bestFit="1" customWidth="1"/>
    <col min="5115" max="5116" width="10.7265625" style="179" customWidth="1"/>
    <col min="5117" max="5117" width="19.7265625" style="179" bestFit="1" customWidth="1"/>
    <col min="5118" max="5118" width="26.7265625" style="179" bestFit="1" customWidth="1"/>
    <col min="5119" max="5119" width="12.453125" style="179" bestFit="1" customWidth="1"/>
    <col min="5120" max="5120" width="11" style="179"/>
    <col min="5121" max="5121" width="36.81640625" style="179" customWidth="1"/>
    <col min="5122" max="5122" width="11.26953125" style="179" customWidth="1"/>
    <col min="5123" max="5123" width="31.26953125" style="179" customWidth="1"/>
    <col min="5124" max="5124" width="9.81640625" style="179" customWidth="1"/>
    <col min="5125" max="5125" width="11.7265625" style="179" customWidth="1"/>
    <col min="5126" max="5126" width="16.54296875" style="179" customWidth="1"/>
    <col min="5127" max="5127" width="14.7265625" style="179" customWidth="1"/>
    <col min="5128" max="5128" width="14.54296875" style="179" bestFit="1" customWidth="1"/>
    <col min="5129" max="5129" width="0" style="179" hidden="1" customWidth="1"/>
    <col min="5130" max="5130" width="15.54296875" style="179" customWidth="1"/>
    <col min="5131" max="5131" width="13.81640625" style="179" bestFit="1" customWidth="1"/>
    <col min="5132" max="5132" width="0.81640625" style="179" customWidth="1"/>
    <col min="5133" max="5133" width="13.7265625" style="179" customWidth="1"/>
    <col min="5134" max="5134" width="14.26953125" style="179" customWidth="1"/>
    <col min="5135" max="5135" width="23.453125" style="179" customWidth="1"/>
    <col min="5136" max="5136" width="19.1796875" style="179" customWidth="1"/>
    <col min="5137" max="5137" width="15.81640625" style="179" customWidth="1"/>
    <col min="5138" max="5139" width="20.1796875" style="179" customWidth="1"/>
    <col min="5140" max="5140" width="17.26953125" style="179" customWidth="1"/>
    <col min="5141" max="5144" width="12.26953125" style="179" customWidth="1"/>
    <col min="5145" max="5145" width="11.26953125" style="179" customWidth="1"/>
    <col min="5146" max="5369" width="10.7265625" style="179" customWidth="1"/>
    <col min="5370" max="5370" width="14.26953125" style="179" bestFit="1" customWidth="1"/>
    <col min="5371" max="5372" width="10.7265625" style="179" customWidth="1"/>
    <col min="5373" max="5373" width="19.7265625" style="179" bestFit="1" customWidth="1"/>
    <col min="5374" max="5374" width="26.7265625" style="179" bestFit="1" customWidth="1"/>
    <col min="5375" max="5375" width="12.453125" style="179" bestFit="1" customWidth="1"/>
    <col min="5376" max="5376" width="11" style="179"/>
    <col min="5377" max="5377" width="36.81640625" style="179" customWidth="1"/>
    <col min="5378" max="5378" width="11.26953125" style="179" customWidth="1"/>
    <col min="5379" max="5379" width="31.26953125" style="179" customWidth="1"/>
    <col min="5380" max="5380" width="9.81640625" style="179" customWidth="1"/>
    <col min="5381" max="5381" width="11.7265625" style="179" customWidth="1"/>
    <col min="5382" max="5382" width="16.54296875" style="179" customWidth="1"/>
    <col min="5383" max="5383" width="14.7265625" style="179" customWidth="1"/>
    <col min="5384" max="5384" width="14.54296875" style="179" bestFit="1" customWidth="1"/>
    <col min="5385" max="5385" width="0" style="179" hidden="1" customWidth="1"/>
    <col min="5386" max="5386" width="15.54296875" style="179" customWidth="1"/>
    <col min="5387" max="5387" width="13.81640625" style="179" bestFit="1" customWidth="1"/>
    <col min="5388" max="5388" width="0.81640625" style="179" customWidth="1"/>
    <col min="5389" max="5389" width="13.7265625" style="179" customWidth="1"/>
    <col min="5390" max="5390" width="14.26953125" style="179" customWidth="1"/>
    <col min="5391" max="5391" width="23.453125" style="179" customWidth="1"/>
    <col min="5392" max="5392" width="19.1796875" style="179" customWidth="1"/>
    <col min="5393" max="5393" width="15.81640625" style="179" customWidth="1"/>
    <col min="5394" max="5395" width="20.1796875" style="179" customWidth="1"/>
    <col min="5396" max="5396" width="17.26953125" style="179" customWidth="1"/>
    <col min="5397" max="5400" width="12.26953125" style="179" customWidth="1"/>
    <col min="5401" max="5401" width="11.26953125" style="179" customWidth="1"/>
    <col min="5402" max="5625" width="10.7265625" style="179" customWidth="1"/>
    <col min="5626" max="5626" width="14.26953125" style="179" bestFit="1" customWidth="1"/>
    <col min="5627" max="5628" width="10.7265625" style="179" customWidth="1"/>
    <col min="5629" max="5629" width="19.7265625" style="179" bestFit="1" customWidth="1"/>
    <col min="5630" max="5630" width="26.7265625" style="179" bestFit="1" customWidth="1"/>
    <col min="5631" max="5631" width="12.453125" style="179" bestFit="1" customWidth="1"/>
    <col min="5632" max="5632" width="11" style="179"/>
    <col min="5633" max="5633" width="36.81640625" style="179" customWidth="1"/>
    <col min="5634" max="5634" width="11.26953125" style="179" customWidth="1"/>
    <col min="5635" max="5635" width="31.26953125" style="179" customWidth="1"/>
    <col min="5636" max="5636" width="9.81640625" style="179" customWidth="1"/>
    <col min="5637" max="5637" width="11.7265625" style="179" customWidth="1"/>
    <col min="5638" max="5638" width="16.54296875" style="179" customWidth="1"/>
    <col min="5639" max="5639" width="14.7265625" style="179" customWidth="1"/>
    <col min="5640" max="5640" width="14.54296875" style="179" bestFit="1" customWidth="1"/>
    <col min="5641" max="5641" width="0" style="179" hidden="1" customWidth="1"/>
    <col min="5642" max="5642" width="15.54296875" style="179" customWidth="1"/>
    <col min="5643" max="5643" width="13.81640625" style="179" bestFit="1" customWidth="1"/>
    <col min="5644" max="5644" width="0.81640625" style="179" customWidth="1"/>
    <col min="5645" max="5645" width="13.7265625" style="179" customWidth="1"/>
    <col min="5646" max="5646" width="14.26953125" style="179" customWidth="1"/>
    <col min="5647" max="5647" width="23.453125" style="179" customWidth="1"/>
    <col min="5648" max="5648" width="19.1796875" style="179" customWidth="1"/>
    <col min="5649" max="5649" width="15.81640625" style="179" customWidth="1"/>
    <col min="5650" max="5651" width="20.1796875" style="179" customWidth="1"/>
    <col min="5652" max="5652" width="17.26953125" style="179" customWidth="1"/>
    <col min="5653" max="5656" width="12.26953125" style="179" customWidth="1"/>
    <col min="5657" max="5657" width="11.26953125" style="179" customWidth="1"/>
    <col min="5658" max="5881" width="10.7265625" style="179" customWidth="1"/>
    <col min="5882" max="5882" width="14.26953125" style="179" bestFit="1" customWidth="1"/>
    <col min="5883" max="5884" width="10.7265625" style="179" customWidth="1"/>
    <col min="5885" max="5885" width="19.7265625" style="179" bestFit="1" customWidth="1"/>
    <col min="5886" max="5886" width="26.7265625" style="179" bestFit="1" customWidth="1"/>
    <col min="5887" max="5887" width="12.453125" style="179" bestFit="1" customWidth="1"/>
    <col min="5888" max="5888" width="11" style="179"/>
    <col min="5889" max="5889" width="36.81640625" style="179" customWidth="1"/>
    <col min="5890" max="5890" width="11.26953125" style="179" customWidth="1"/>
    <col min="5891" max="5891" width="31.26953125" style="179" customWidth="1"/>
    <col min="5892" max="5892" width="9.81640625" style="179" customWidth="1"/>
    <col min="5893" max="5893" width="11.7265625" style="179" customWidth="1"/>
    <col min="5894" max="5894" width="16.54296875" style="179" customWidth="1"/>
    <col min="5895" max="5895" width="14.7265625" style="179" customWidth="1"/>
    <col min="5896" max="5896" width="14.54296875" style="179" bestFit="1" customWidth="1"/>
    <col min="5897" max="5897" width="0" style="179" hidden="1" customWidth="1"/>
    <col min="5898" max="5898" width="15.54296875" style="179" customWidth="1"/>
    <col min="5899" max="5899" width="13.81640625" style="179" bestFit="1" customWidth="1"/>
    <col min="5900" max="5900" width="0.81640625" style="179" customWidth="1"/>
    <col min="5901" max="5901" width="13.7265625" style="179" customWidth="1"/>
    <col min="5902" max="5902" width="14.26953125" style="179" customWidth="1"/>
    <col min="5903" max="5903" width="23.453125" style="179" customWidth="1"/>
    <col min="5904" max="5904" width="19.1796875" style="179" customWidth="1"/>
    <col min="5905" max="5905" width="15.81640625" style="179" customWidth="1"/>
    <col min="5906" max="5907" width="20.1796875" style="179" customWidth="1"/>
    <col min="5908" max="5908" width="17.26953125" style="179" customWidth="1"/>
    <col min="5909" max="5912" width="12.26953125" style="179" customWidth="1"/>
    <col min="5913" max="5913" width="11.26953125" style="179" customWidth="1"/>
    <col min="5914" max="6137" width="10.7265625" style="179" customWidth="1"/>
    <col min="6138" max="6138" width="14.26953125" style="179" bestFit="1" customWidth="1"/>
    <col min="6139" max="6140" width="10.7265625" style="179" customWidth="1"/>
    <col min="6141" max="6141" width="19.7265625" style="179" bestFit="1" customWidth="1"/>
    <col min="6142" max="6142" width="26.7265625" style="179" bestFit="1" customWidth="1"/>
    <col min="6143" max="6143" width="12.453125" style="179" bestFit="1" customWidth="1"/>
    <col min="6144" max="6144" width="11" style="179"/>
    <col min="6145" max="6145" width="36.81640625" style="179" customWidth="1"/>
    <col min="6146" max="6146" width="11.26953125" style="179" customWidth="1"/>
    <col min="6147" max="6147" width="31.26953125" style="179" customWidth="1"/>
    <col min="6148" max="6148" width="9.81640625" style="179" customWidth="1"/>
    <col min="6149" max="6149" width="11.7265625" style="179" customWidth="1"/>
    <col min="6150" max="6150" width="16.54296875" style="179" customWidth="1"/>
    <col min="6151" max="6151" width="14.7265625" style="179" customWidth="1"/>
    <col min="6152" max="6152" width="14.54296875" style="179" bestFit="1" customWidth="1"/>
    <col min="6153" max="6153" width="0" style="179" hidden="1" customWidth="1"/>
    <col min="6154" max="6154" width="15.54296875" style="179" customWidth="1"/>
    <col min="6155" max="6155" width="13.81640625" style="179" bestFit="1" customWidth="1"/>
    <col min="6156" max="6156" width="0.81640625" style="179" customWidth="1"/>
    <col min="6157" max="6157" width="13.7265625" style="179" customWidth="1"/>
    <col min="6158" max="6158" width="14.26953125" style="179" customWidth="1"/>
    <col min="6159" max="6159" width="23.453125" style="179" customWidth="1"/>
    <col min="6160" max="6160" width="19.1796875" style="179" customWidth="1"/>
    <col min="6161" max="6161" width="15.81640625" style="179" customWidth="1"/>
    <col min="6162" max="6163" width="20.1796875" style="179" customWidth="1"/>
    <col min="6164" max="6164" width="17.26953125" style="179" customWidth="1"/>
    <col min="6165" max="6168" width="12.26953125" style="179" customWidth="1"/>
    <col min="6169" max="6169" width="11.26953125" style="179" customWidth="1"/>
    <col min="6170" max="6393" width="10.7265625" style="179" customWidth="1"/>
    <col min="6394" max="6394" width="14.26953125" style="179" bestFit="1" customWidth="1"/>
    <col min="6395" max="6396" width="10.7265625" style="179" customWidth="1"/>
    <col min="6397" max="6397" width="19.7265625" style="179" bestFit="1" customWidth="1"/>
    <col min="6398" max="6398" width="26.7265625" style="179" bestFit="1" customWidth="1"/>
    <col min="6399" max="6399" width="12.453125" style="179" bestFit="1" customWidth="1"/>
    <col min="6400" max="6400" width="11" style="179"/>
    <col min="6401" max="6401" width="36.81640625" style="179" customWidth="1"/>
    <col min="6402" max="6402" width="11.26953125" style="179" customWidth="1"/>
    <col min="6403" max="6403" width="31.26953125" style="179" customWidth="1"/>
    <col min="6404" max="6404" width="9.81640625" style="179" customWidth="1"/>
    <col min="6405" max="6405" width="11.7265625" style="179" customWidth="1"/>
    <col min="6406" max="6406" width="16.54296875" style="179" customWidth="1"/>
    <col min="6407" max="6407" width="14.7265625" style="179" customWidth="1"/>
    <col min="6408" max="6408" width="14.54296875" style="179" bestFit="1" customWidth="1"/>
    <col min="6409" max="6409" width="0" style="179" hidden="1" customWidth="1"/>
    <col min="6410" max="6410" width="15.54296875" style="179" customWidth="1"/>
    <col min="6411" max="6411" width="13.81640625" style="179" bestFit="1" customWidth="1"/>
    <col min="6412" max="6412" width="0.81640625" style="179" customWidth="1"/>
    <col min="6413" max="6413" width="13.7265625" style="179" customWidth="1"/>
    <col min="6414" max="6414" width="14.26953125" style="179" customWidth="1"/>
    <col min="6415" max="6415" width="23.453125" style="179" customWidth="1"/>
    <col min="6416" max="6416" width="19.1796875" style="179" customWidth="1"/>
    <col min="6417" max="6417" width="15.81640625" style="179" customWidth="1"/>
    <col min="6418" max="6419" width="20.1796875" style="179" customWidth="1"/>
    <col min="6420" max="6420" width="17.26953125" style="179" customWidth="1"/>
    <col min="6421" max="6424" width="12.26953125" style="179" customWidth="1"/>
    <col min="6425" max="6425" width="11.26953125" style="179" customWidth="1"/>
    <col min="6426" max="6649" width="10.7265625" style="179" customWidth="1"/>
    <col min="6650" max="6650" width="14.26953125" style="179" bestFit="1" customWidth="1"/>
    <col min="6651" max="6652" width="10.7265625" style="179" customWidth="1"/>
    <col min="6653" max="6653" width="19.7265625" style="179" bestFit="1" customWidth="1"/>
    <col min="6654" max="6654" width="26.7265625" style="179" bestFit="1" customWidth="1"/>
    <col min="6655" max="6655" width="12.453125" style="179" bestFit="1" customWidth="1"/>
    <col min="6656" max="6656" width="11" style="179"/>
    <col min="6657" max="6657" width="36.81640625" style="179" customWidth="1"/>
    <col min="6658" max="6658" width="11.26953125" style="179" customWidth="1"/>
    <col min="6659" max="6659" width="31.26953125" style="179" customWidth="1"/>
    <col min="6660" max="6660" width="9.81640625" style="179" customWidth="1"/>
    <col min="6661" max="6661" width="11.7265625" style="179" customWidth="1"/>
    <col min="6662" max="6662" width="16.54296875" style="179" customWidth="1"/>
    <col min="6663" max="6663" width="14.7265625" style="179" customWidth="1"/>
    <col min="6664" max="6664" width="14.54296875" style="179" bestFit="1" customWidth="1"/>
    <col min="6665" max="6665" width="0" style="179" hidden="1" customWidth="1"/>
    <col min="6666" max="6666" width="15.54296875" style="179" customWidth="1"/>
    <col min="6667" max="6667" width="13.81640625" style="179" bestFit="1" customWidth="1"/>
    <col min="6668" max="6668" width="0.81640625" style="179" customWidth="1"/>
    <col min="6669" max="6669" width="13.7265625" style="179" customWidth="1"/>
    <col min="6670" max="6670" width="14.26953125" style="179" customWidth="1"/>
    <col min="6671" max="6671" width="23.453125" style="179" customWidth="1"/>
    <col min="6672" max="6672" width="19.1796875" style="179" customWidth="1"/>
    <col min="6673" max="6673" width="15.81640625" style="179" customWidth="1"/>
    <col min="6674" max="6675" width="20.1796875" style="179" customWidth="1"/>
    <col min="6676" max="6676" width="17.26953125" style="179" customWidth="1"/>
    <col min="6677" max="6680" width="12.26953125" style="179" customWidth="1"/>
    <col min="6681" max="6681" width="11.26953125" style="179" customWidth="1"/>
    <col min="6682" max="6905" width="10.7265625" style="179" customWidth="1"/>
    <col min="6906" max="6906" width="14.26953125" style="179" bestFit="1" customWidth="1"/>
    <col min="6907" max="6908" width="10.7265625" style="179" customWidth="1"/>
    <col min="6909" max="6909" width="19.7265625" style="179" bestFit="1" customWidth="1"/>
    <col min="6910" max="6910" width="26.7265625" style="179" bestFit="1" customWidth="1"/>
    <col min="6911" max="6911" width="12.453125" style="179" bestFit="1" customWidth="1"/>
    <col min="6912" max="6912" width="11" style="179"/>
    <col min="6913" max="6913" width="36.81640625" style="179" customWidth="1"/>
    <col min="6914" max="6914" width="11.26953125" style="179" customWidth="1"/>
    <col min="6915" max="6915" width="31.26953125" style="179" customWidth="1"/>
    <col min="6916" max="6916" width="9.81640625" style="179" customWidth="1"/>
    <col min="6917" max="6917" width="11.7265625" style="179" customWidth="1"/>
    <col min="6918" max="6918" width="16.54296875" style="179" customWidth="1"/>
    <col min="6919" max="6919" width="14.7265625" style="179" customWidth="1"/>
    <col min="6920" max="6920" width="14.54296875" style="179" bestFit="1" customWidth="1"/>
    <col min="6921" max="6921" width="0" style="179" hidden="1" customWidth="1"/>
    <col min="6922" max="6922" width="15.54296875" style="179" customWidth="1"/>
    <col min="6923" max="6923" width="13.81640625" style="179" bestFit="1" customWidth="1"/>
    <col min="6924" max="6924" width="0.81640625" style="179" customWidth="1"/>
    <col min="6925" max="6925" width="13.7265625" style="179" customWidth="1"/>
    <col min="6926" max="6926" width="14.26953125" style="179" customWidth="1"/>
    <col min="6927" max="6927" width="23.453125" style="179" customWidth="1"/>
    <col min="6928" max="6928" width="19.1796875" style="179" customWidth="1"/>
    <col min="6929" max="6929" width="15.81640625" style="179" customWidth="1"/>
    <col min="6930" max="6931" width="20.1796875" style="179" customWidth="1"/>
    <col min="6932" max="6932" width="17.26953125" style="179" customWidth="1"/>
    <col min="6933" max="6936" width="12.26953125" style="179" customWidth="1"/>
    <col min="6937" max="6937" width="11.26953125" style="179" customWidth="1"/>
    <col min="6938" max="7161" width="10.7265625" style="179" customWidth="1"/>
    <col min="7162" max="7162" width="14.26953125" style="179" bestFit="1" customWidth="1"/>
    <col min="7163" max="7164" width="10.7265625" style="179" customWidth="1"/>
    <col min="7165" max="7165" width="19.7265625" style="179" bestFit="1" customWidth="1"/>
    <col min="7166" max="7166" width="26.7265625" style="179" bestFit="1" customWidth="1"/>
    <col min="7167" max="7167" width="12.453125" style="179" bestFit="1" customWidth="1"/>
    <col min="7168" max="7168" width="11" style="179"/>
    <col min="7169" max="7169" width="36.81640625" style="179" customWidth="1"/>
    <col min="7170" max="7170" width="11.26953125" style="179" customWidth="1"/>
    <col min="7171" max="7171" width="31.26953125" style="179" customWidth="1"/>
    <col min="7172" max="7172" width="9.81640625" style="179" customWidth="1"/>
    <col min="7173" max="7173" width="11.7265625" style="179" customWidth="1"/>
    <col min="7174" max="7174" width="16.54296875" style="179" customWidth="1"/>
    <col min="7175" max="7175" width="14.7265625" style="179" customWidth="1"/>
    <col min="7176" max="7176" width="14.54296875" style="179" bestFit="1" customWidth="1"/>
    <col min="7177" max="7177" width="0" style="179" hidden="1" customWidth="1"/>
    <col min="7178" max="7178" width="15.54296875" style="179" customWidth="1"/>
    <col min="7179" max="7179" width="13.81640625" style="179" bestFit="1" customWidth="1"/>
    <col min="7180" max="7180" width="0.81640625" style="179" customWidth="1"/>
    <col min="7181" max="7181" width="13.7265625" style="179" customWidth="1"/>
    <col min="7182" max="7182" width="14.26953125" style="179" customWidth="1"/>
    <col min="7183" max="7183" width="23.453125" style="179" customWidth="1"/>
    <col min="7184" max="7184" width="19.1796875" style="179" customWidth="1"/>
    <col min="7185" max="7185" width="15.81640625" style="179" customWidth="1"/>
    <col min="7186" max="7187" width="20.1796875" style="179" customWidth="1"/>
    <col min="7188" max="7188" width="17.26953125" style="179" customWidth="1"/>
    <col min="7189" max="7192" width="12.26953125" style="179" customWidth="1"/>
    <col min="7193" max="7193" width="11.26953125" style="179" customWidth="1"/>
    <col min="7194" max="7417" width="10.7265625" style="179" customWidth="1"/>
    <col min="7418" max="7418" width="14.26953125" style="179" bestFit="1" customWidth="1"/>
    <col min="7419" max="7420" width="10.7265625" style="179" customWidth="1"/>
    <col min="7421" max="7421" width="19.7265625" style="179" bestFit="1" customWidth="1"/>
    <col min="7422" max="7422" width="26.7265625" style="179" bestFit="1" customWidth="1"/>
    <col min="7423" max="7423" width="12.453125" style="179" bestFit="1" customWidth="1"/>
    <col min="7424" max="7424" width="11" style="179"/>
    <col min="7425" max="7425" width="36.81640625" style="179" customWidth="1"/>
    <col min="7426" max="7426" width="11.26953125" style="179" customWidth="1"/>
    <col min="7427" max="7427" width="31.26953125" style="179" customWidth="1"/>
    <col min="7428" max="7428" width="9.81640625" style="179" customWidth="1"/>
    <col min="7429" max="7429" width="11.7265625" style="179" customWidth="1"/>
    <col min="7430" max="7430" width="16.54296875" style="179" customWidth="1"/>
    <col min="7431" max="7431" width="14.7265625" style="179" customWidth="1"/>
    <col min="7432" max="7432" width="14.54296875" style="179" bestFit="1" customWidth="1"/>
    <col min="7433" max="7433" width="0" style="179" hidden="1" customWidth="1"/>
    <col min="7434" max="7434" width="15.54296875" style="179" customWidth="1"/>
    <col min="7435" max="7435" width="13.81640625" style="179" bestFit="1" customWidth="1"/>
    <col min="7436" max="7436" width="0.81640625" style="179" customWidth="1"/>
    <col min="7437" max="7437" width="13.7265625" style="179" customWidth="1"/>
    <col min="7438" max="7438" width="14.26953125" style="179" customWidth="1"/>
    <col min="7439" max="7439" width="23.453125" style="179" customWidth="1"/>
    <col min="7440" max="7440" width="19.1796875" style="179" customWidth="1"/>
    <col min="7441" max="7441" width="15.81640625" style="179" customWidth="1"/>
    <col min="7442" max="7443" width="20.1796875" style="179" customWidth="1"/>
    <col min="7444" max="7444" width="17.26953125" style="179" customWidth="1"/>
    <col min="7445" max="7448" width="12.26953125" style="179" customWidth="1"/>
    <col min="7449" max="7449" width="11.26953125" style="179" customWidth="1"/>
    <col min="7450" max="7673" width="10.7265625" style="179" customWidth="1"/>
    <col min="7674" max="7674" width="14.26953125" style="179" bestFit="1" customWidth="1"/>
    <col min="7675" max="7676" width="10.7265625" style="179" customWidth="1"/>
    <col min="7677" max="7677" width="19.7265625" style="179" bestFit="1" customWidth="1"/>
    <col min="7678" max="7678" width="26.7265625" style="179" bestFit="1" customWidth="1"/>
    <col min="7679" max="7679" width="12.453125" style="179" bestFit="1" customWidth="1"/>
    <col min="7680" max="7680" width="11" style="179"/>
    <col min="7681" max="7681" width="36.81640625" style="179" customWidth="1"/>
    <col min="7682" max="7682" width="11.26953125" style="179" customWidth="1"/>
    <col min="7683" max="7683" width="31.26953125" style="179" customWidth="1"/>
    <col min="7684" max="7684" width="9.81640625" style="179" customWidth="1"/>
    <col min="7685" max="7685" width="11.7265625" style="179" customWidth="1"/>
    <col min="7686" max="7686" width="16.54296875" style="179" customWidth="1"/>
    <col min="7687" max="7687" width="14.7265625" style="179" customWidth="1"/>
    <col min="7688" max="7688" width="14.54296875" style="179" bestFit="1" customWidth="1"/>
    <col min="7689" max="7689" width="0" style="179" hidden="1" customWidth="1"/>
    <col min="7690" max="7690" width="15.54296875" style="179" customWidth="1"/>
    <col min="7691" max="7691" width="13.81640625" style="179" bestFit="1" customWidth="1"/>
    <col min="7692" max="7692" width="0.81640625" style="179" customWidth="1"/>
    <col min="7693" max="7693" width="13.7265625" style="179" customWidth="1"/>
    <col min="7694" max="7694" width="14.26953125" style="179" customWidth="1"/>
    <col min="7695" max="7695" width="23.453125" style="179" customWidth="1"/>
    <col min="7696" max="7696" width="19.1796875" style="179" customWidth="1"/>
    <col min="7697" max="7697" width="15.81640625" style="179" customWidth="1"/>
    <col min="7698" max="7699" width="20.1796875" style="179" customWidth="1"/>
    <col min="7700" max="7700" width="17.26953125" style="179" customWidth="1"/>
    <col min="7701" max="7704" width="12.26953125" style="179" customWidth="1"/>
    <col min="7705" max="7705" width="11.26953125" style="179" customWidth="1"/>
    <col min="7706" max="7929" width="10.7265625" style="179" customWidth="1"/>
    <col min="7930" max="7930" width="14.26953125" style="179" bestFit="1" customWidth="1"/>
    <col min="7931" max="7932" width="10.7265625" style="179" customWidth="1"/>
    <col min="7933" max="7933" width="19.7265625" style="179" bestFit="1" customWidth="1"/>
    <col min="7934" max="7934" width="26.7265625" style="179" bestFit="1" customWidth="1"/>
    <col min="7935" max="7935" width="12.453125" style="179" bestFit="1" customWidth="1"/>
    <col min="7936" max="7936" width="11" style="179"/>
    <col min="7937" max="7937" width="36.81640625" style="179" customWidth="1"/>
    <col min="7938" max="7938" width="11.26953125" style="179" customWidth="1"/>
    <col min="7939" max="7939" width="31.26953125" style="179" customWidth="1"/>
    <col min="7940" max="7940" width="9.81640625" style="179" customWidth="1"/>
    <col min="7941" max="7941" width="11.7265625" style="179" customWidth="1"/>
    <col min="7942" max="7942" width="16.54296875" style="179" customWidth="1"/>
    <col min="7943" max="7943" width="14.7265625" style="179" customWidth="1"/>
    <col min="7944" max="7944" width="14.54296875" style="179" bestFit="1" customWidth="1"/>
    <col min="7945" max="7945" width="0" style="179" hidden="1" customWidth="1"/>
    <col min="7946" max="7946" width="15.54296875" style="179" customWidth="1"/>
    <col min="7947" max="7947" width="13.81640625" style="179" bestFit="1" customWidth="1"/>
    <col min="7948" max="7948" width="0.81640625" style="179" customWidth="1"/>
    <col min="7949" max="7949" width="13.7265625" style="179" customWidth="1"/>
    <col min="7950" max="7950" width="14.26953125" style="179" customWidth="1"/>
    <col min="7951" max="7951" width="23.453125" style="179" customWidth="1"/>
    <col min="7952" max="7952" width="19.1796875" style="179" customWidth="1"/>
    <col min="7953" max="7953" width="15.81640625" style="179" customWidth="1"/>
    <col min="7954" max="7955" width="20.1796875" style="179" customWidth="1"/>
    <col min="7956" max="7956" width="17.26953125" style="179" customWidth="1"/>
    <col min="7957" max="7960" width="12.26953125" style="179" customWidth="1"/>
    <col min="7961" max="7961" width="11.26953125" style="179" customWidth="1"/>
    <col min="7962" max="8185" width="10.7265625" style="179" customWidth="1"/>
    <col min="8186" max="8186" width="14.26953125" style="179" bestFit="1" customWidth="1"/>
    <col min="8187" max="8188" width="10.7265625" style="179" customWidth="1"/>
    <col min="8189" max="8189" width="19.7265625" style="179" bestFit="1" customWidth="1"/>
    <col min="8190" max="8190" width="26.7265625" style="179" bestFit="1" customWidth="1"/>
    <col min="8191" max="8191" width="12.453125" style="179" bestFit="1" customWidth="1"/>
    <col min="8192" max="8192" width="11" style="179"/>
    <col min="8193" max="8193" width="36.81640625" style="179" customWidth="1"/>
    <col min="8194" max="8194" width="11.26953125" style="179" customWidth="1"/>
    <col min="8195" max="8195" width="31.26953125" style="179" customWidth="1"/>
    <col min="8196" max="8196" width="9.81640625" style="179" customWidth="1"/>
    <col min="8197" max="8197" width="11.7265625" style="179" customWidth="1"/>
    <col min="8198" max="8198" width="16.54296875" style="179" customWidth="1"/>
    <col min="8199" max="8199" width="14.7265625" style="179" customWidth="1"/>
    <col min="8200" max="8200" width="14.54296875" style="179" bestFit="1" customWidth="1"/>
    <col min="8201" max="8201" width="0" style="179" hidden="1" customWidth="1"/>
    <col min="8202" max="8202" width="15.54296875" style="179" customWidth="1"/>
    <col min="8203" max="8203" width="13.81640625" style="179" bestFit="1" customWidth="1"/>
    <col min="8204" max="8204" width="0.81640625" style="179" customWidth="1"/>
    <col min="8205" max="8205" width="13.7265625" style="179" customWidth="1"/>
    <col min="8206" max="8206" width="14.26953125" style="179" customWidth="1"/>
    <col min="8207" max="8207" width="23.453125" style="179" customWidth="1"/>
    <col min="8208" max="8208" width="19.1796875" style="179" customWidth="1"/>
    <col min="8209" max="8209" width="15.81640625" style="179" customWidth="1"/>
    <col min="8210" max="8211" width="20.1796875" style="179" customWidth="1"/>
    <col min="8212" max="8212" width="17.26953125" style="179" customWidth="1"/>
    <col min="8213" max="8216" width="12.26953125" style="179" customWidth="1"/>
    <col min="8217" max="8217" width="11.26953125" style="179" customWidth="1"/>
    <col min="8218" max="8441" width="10.7265625" style="179" customWidth="1"/>
    <col min="8442" max="8442" width="14.26953125" style="179" bestFit="1" customWidth="1"/>
    <col min="8443" max="8444" width="10.7265625" style="179" customWidth="1"/>
    <col min="8445" max="8445" width="19.7265625" style="179" bestFit="1" customWidth="1"/>
    <col min="8446" max="8446" width="26.7265625" style="179" bestFit="1" customWidth="1"/>
    <col min="8447" max="8447" width="12.453125" style="179" bestFit="1" customWidth="1"/>
    <col min="8448" max="8448" width="11" style="179"/>
    <col min="8449" max="8449" width="36.81640625" style="179" customWidth="1"/>
    <col min="8450" max="8450" width="11.26953125" style="179" customWidth="1"/>
    <col min="8451" max="8451" width="31.26953125" style="179" customWidth="1"/>
    <col min="8452" max="8452" width="9.81640625" style="179" customWidth="1"/>
    <col min="8453" max="8453" width="11.7265625" style="179" customWidth="1"/>
    <col min="8454" max="8454" width="16.54296875" style="179" customWidth="1"/>
    <col min="8455" max="8455" width="14.7265625" style="179" customWidth="1"/>
    <col min="8456" max="8456" width="14.54296875" style="179" bestFit="1" customWidth="1"/>
    <col min="8457" max="8457" width="0" style="179" hidden="1" customWidth="1"/>
    <col min="8458" max="8458" width="15.54296875" style="179" customWidth="1"/>
    <col min="8459" max="8459" width="13.81640625" style="179" bestFit="1" customWidth="1"/>
    <col min="8460" max="8460" width="0.81640625" style="179" customWidth="1"/>
    <col min="8461" max="8461" width="13.7265625" style="179" customWidth="1"/>
    <col min="8462" max="8462" width="14.26953125" style="179" customWidth="1"/>
    <col min="8463" max="8463" width="23.453125" style="179" customWidth="1"/>
    <col min="8464" max="8464" width="19.1796875" style="179" customWidth="1"/>
    <col min="8465" max="8465" width="15.81640625" style="179" customWidth="1"/>
    <col min="8466" max="8467" width="20.1796875" style="179" customWidth="1"/>
    <col min="8468" max="8468" width="17.26953125" style="179" customWidth="1"/>
    <col min="8469" max="8472" width="12.26953125" style="179" customWidth="1"/>
    <col min="8473" max="8473" width="11.26953125" style="179" customWidth="1"/>
    <col min="8474" max="8697" width="10.7265625" style="179" customWidth="1"/>
    <col min="8698" max="8698" width="14.26953125" style="179" bestFit="1" customWidth="1"/>
    <col min="8699" max="8700" width="10.7265625" style="179" customWidth="1"/>
    <col min="8701" max="8701" width="19.7265625" style="179" bestFit="1" customWidth="1"/>
    <col min="8702" max="8702" width="26.7265625" style="179" bestFit="1" customWidth="1"/>
    <col min="8703" max="8703" width="12.453125" style="179" bestFit="1" customWidth="1"/>
    <col min="8704" max="8704" width="11" style="179"/>
    <col min="8705" max="8705" width="36.81640625" style="179" customWidth="1"/>
    <col min="8706" max="8706" width="11.26953125" style="179" customWidth="1"/>
    <col min="8707" max="8707" width="31.26953125" style="179" customWidth="1"/>
    <col min="8708" max="8708" width="9.81640625" style="179" customWidth="1"/>
    <col min="8709" max="8709" width="11.7265625" style="179" customWidth="1"/>
    <col min="8710" max="8710" width="16.54296875" style="179" customWidth="1"/>
    <col min="8711" max="8711" width="14.7265625" style="179" customWidth="1"/>
    <col min="8712" max="8712" width="14.54296875" style="179" bestFit="1" customWidth="1"/>
    <col min="8713" max="8713" width="0" style="179" hidden="1" customWidth="1"/>
    <col min="8714" max="8714" width="15.54296875" style="179" customWidth="1"/>
    <col min="8715" max="8715" width="13.81640625" style="179" bestFit="1" customWidth="1"/>
    <col min="8716" max="8716" width="0.81640625" style="179" customWidth="1"/>
    <col min="8717" max="8717" width="13.7265625" style="179" customWidth="1"/>
    <col min="8718" max="8718" width="14.26953125" style="179" customWidth="1"/>
    <col min="8719" max="8719" width="23.453125" style="179" customWidth="1"/>
    <col min="8720" max="8720" width="19.1796875" style="179" customWidth="1"/>
    <col min="8721" max="8721" width="15.81640625" style="179" customWidth="1"/>
    <col min="8722" max="8723" width="20.1796875" style="179" customWidth="1"/>
    <col min="8724" max="8724" width="17.26953125" style="179" customWidth="1"/>
    <col min="8725" max="8728" width="12.26953125" style="179" customWidth="1"/>
    <col min="8729" max="8729" width="11.26953125" style="179" customWidth="1"/>
    <col min="8730" max="8953" width="10.7265625" style="179" customWidth="1"/>
    <col min="8954" max="8954" width="14.26953125" style="179" bestFit="1" customWidth="1"/>
    <col min="8955" max="8956" width="10.7265625" style="179" customWidth="1"/>
    <col min="8957" max="8957" width="19.7265625" style="179" bestFit="1" customWidth="1"/>
    <col min="8958" max="8958" width="26.7265625" style="179" bestFit="1" customWidth="1"/>
    <col min="8959" max="8959" width="12.453125" style="179" bestFit="1" customWidth="1"/>
    <col min="8960" max="8960" width="11" style="179"/>
    <col min="8961" max="8961" width="36.81640625" style="179" customWidth="1"/>
    <col min="8962" max="8962" width="11.26953125" style="179" customWidth="1"/>
    <col min="8963" max="8963" width="31.26953125" style="179" customWidth="1"/>
    <col min="8964" max="8964" width="9.81640625" style="179" customWidth="1"/>
    <col min="8965" max="8965" width="11.7265625" style="179" customWidth="1"/>
    <col min="8966" max="8966" width="16.54296875" style="179" customWidth="1"/>
    <col min="8967" max="8967" width="14.7265625" style="179" customWidth="1"/>
    <col min="8968" max="8968" width="14.54296875" style="179" bestFit="1" customWidth="1"/>
    <col min="8969" max="8969" width="0" style="179" hidden="1" customWidth="1"/>
    <col min="8970" max="8970" width="15.54296875" style="179" customWidth="1"/>
    <col min="8971" max="8971" width="13.81640625" style="179" bestFit="1" customWidth="1"/>
    <col min="8972" max="8972" width="0.81640625" style="179" customWidth="1"/>
    <col min="8973" max="8973" width="13.7265625" style="179" customWidth="1"/>
    <col min="8974" max="8974" width="14.26953125" style="179" customWidth="1"/>
    <col min="8975" max="8975" width="23.453125" style="179" customWidth="1"/>
    <col min="8976" max="8976" width="19.1796875" style="179" customWidth="1"/>
    <col min="8977" max="8977" width="15.81640625" style="179" customWidth="1"/>
    <col min="8978" max="8979" width="20.1796875" style="179" customWidth="1"/>
    <col min="8980" max="8980" width="17.26953125" style="179" customWidth="1"/>
    <col min="8981" max="8984" width="12.26953125" style="179" customWidth="1"/>
    <col min="8985" max="8985" width="11.26953125" style="179" customWidth="1"/>
    <col min="8986" max="9209" width="10.7265625" style="179" customWidth="1"/>
    <col min="9210" max="9210" width="14.26953125" style="179" bestFit="1" customWidth="1"/>
    <col min="9211" max="9212" width="10.7265625" style="179" customWidth="1"/>
    <col min="9213" max="9213" width="19.7265625" style="179" bestFit="1" customWidth="1"/>
    <col min="9214" max="9214" width="26.7265625" style="179" bestFit="1" customWidth="1"/>
    <col min="9215" max="9215" width="12.453125" style="179" bestFit="1" customWidth="1"/>
    <col min="9216" max="9216" width="11" style="179"/>
    <col min="9217" max="9217" width="36.81640625" style="179" customWidth="1"/>
    <col min="9218" max="9218" width="11.26953125" style="179" customWidth="1"/>
    <col min="9219" max="9219" width="31.26953125" style="179" customWidth="1"/>
    <col min="9220" max="9220" width="9.81640625" style="179" customWidth="1"/>
    <col min="9221" max="9221" width="11.7265625" style="179" customWidth="1"/>
    <col min="9222" max="9222" width="16.54296875" style="179" customWidth="1"/>
    <col min="9223" max="9223" width="14.7265625" style="179" customWidth="1"/>
    <col min="9224" max="9224" width="14.54296875" style="179" bestFit="1" customWidth="1"/>
    <col min="9225" max="9225" width="0" style="179" hidden="1" customWidth="1"/>
    <col min="9226" max="9226" width="15.54296875" style="179" customWidth="1"/>
    <col min="9227" max="9227" width="13.81640625" style="179" bestFit="1" customWidth="1"/>
    <col min="9228" max="9228" width="0.81640625" style="179" customWidth="1"/>
    <col min="9229" max="9229" width="13.7265625" style="179" customWidth="1"/>
    <col min="9230" max="9230" width="14.26953125" style="179" customWidth="1"/>
    <col min="9231" max="9231" width="23.453125" style="179" customWidth="1"/>
    <col min="9232" max="9232" width="19.1796875" style="179" customWidth="1"/>
    <col min="9233" max="9233" width="15.81640625" style="179" customWidth="1"/>
    <col min="9234" max="9235" width="20.1796875" style="179" customWidth="1"/>
    <col min="9236" max="9236" width="17.26953125" style="179" customWidth="1"/>
    <col min="9237" max="9240" width="12.26953125" style="179" customWidth="1"/>
    <col min="9241" max="9241" width="11.26953125" style="179" customWidth="1"/>
    <col min="9242" max="9465" width="10.7265625" style="179" customWidth="1"/>
    <col min="9466" max="9466" width="14.26953125" style="179" bestFit="1" customWidth="1"/>
    <col min="9467" max="9468" width="10.7265625" style="179" customWidth="1"/>
    <col min="9469" max="9469" width="19.7265625" style="179" bestFit="1" customWidth="1"/>
    <col min="9470" max="9470" width="26.7265625" style="179" bestFit="1" customWidth="1"/>
    <col min="9471" max="9471" width="12.453125" style="179" bestFit="1" customWidth="1"/>
    <col min="9472" max="9472" width="11" style="179"/>
    <col min="9473" max="9473" width="36.81640625" style="179" customWidth="1"/>
    <col min="9474" max="9474" width="11.26953125" style="179" customWidth="1"/>
    <col min="9475" max="9475" width="31.26953125" style="179" customWidth="1"/>
    <col min="9476" max="9476" width="9.81640625" style="179" customWidth="1"/>
    <col min="9477" max="9477" width="11.7265625" style="179" customWidth="1"/>
    <col min="9478" max="9478" width="16.54296875" style="179" customWidth="1"/>
    <col min="9479" max="9479" width="14.7265625" style="179" customWidth="1"/>
    <col min="9480" max="9480" width="14.54296875" style="179" bestFit="1" customWidth="1"/>
    <col min="9481" max="9481" width="0" style="179" hidden="1" customWidth="1"/>
    <col min="9482" max="9482" width="15.54296875" style="179" customWidth="1"/>
    <col min="9483" max="9483" width="13.81640625" style="179" bestFit="1" customWidth="1"/>
    <col min="9484" max="9484" width="0.81640625" style="179" customWidth="1"/>
    <col min="9485" max="9485" width="13.7265625" style="179" customWidth="1"/>
    <col min="9486" max="9486" width="14.26953125" style="179" customWidth="1"/>
    <col min="9487" max="9487" width="23.453125" style="179" customWidth="1"/>
    <col min="9488" max="9488" width="19.1796875" style="179" customWidth="1"/>
    <col min="9489" max="9489" width="15.81640625" style="179" customWidth="1"/>
    <col min="9490" max="9491" width="20.1796875" style="179" customWidth="1"/>
    <col min="9492" max="9492" width="17.26953125" style="179" customWidth="1"/>
    <col min="9493" max="9496" width="12.26953125" style="179" customWidth="1"/>
    <col min="9497" max="9497" width="11.26953125" style="179" customWidth="1"/>
    <col min="9498" max="9721" width="10.7265625" style="179" customWidth="1"/>
    <col min="9722" max="9722" width="14.26953125" style="179" bestFit="1" customWidth="1"/>
    <col min="9723" max="9724" width="10.7265625" style="179" customWidth="1"/>
    <col min="9725" max="9725" width="19.7265625" style="179" bestFit="1" customWidth="1"/>
    <col min="9726" max="9726" width="26.7265625" style="179" bestFit="1" customWidth="1"/>
    <col min="9727" max="9727" width="12.453125" style="179" bestFit="1" customWidth="1"/>
    <col min="9728" max="9728" width="11" style="179"/>
    <col min="9729" max="9729" width="36.81640625" style="179" customWidth="1"/>
    <col min="9730" max="9730" width="11.26953125" style="179" customWidth="1"/>
    <col min="9731" max="9731" width="31.26953125" style="179" customWidth="1"/>
    <col min="9732" max="9732" width="9.81640625" style="179" customWidth="1"/>
    <col min="9733" max="9733" width="11.7265625" style="179" customWidth="1"/>
    <col min="9734" max="9734" width="16.54296875" style="179" customWidth="1"/>
    <col min="9735" max="9735" width="14.7265625" style="179" customWidth="1"/>
    <col min="9736" max="9736" width="14.54296875" style="179" bestFit="1" customWidth="1"/>
    <col min="9737" max="9737" width="0" style="179" hidden="1" customWidth="1"/>
    <col min="9738" max="9738" width="15.54296875" style="179" customWidth="1"/>
    <col min="9739" max="9739" width="13.81640625" style="179" bestFit="1" customWidth="1"/>
    <col min="9740" max="9740" width="0.81640625" style="179" customWidth="1"/>
    <col min="9741" max="9741" width="13.7265625" style="179" customWidth="1"/>
    <col min="9742" max="9742" width="14.26953125" style="179" customWidth="1"/>
    <col min="9743" max="9743" width="23.453125" style="179" customWidth="1"/>
    <col min="9744" max="9744" width="19.1796875" style="179" customWidth="1"/>
    <col min="9745" max="9745" width="15.81640625" style="179" customWidth="1"/>
    <col min="9746" max="9747" width="20.1796875" style="179" customWidth="1"/>
    <col min="9748" max="9748" width="17.26953125" style="179" customWidth="1"/>
    <col min="9749" max="9752" width="12.26953125" style="179" customWidth="1"/>
    <col min="9753" max="9753" width="11.26953125" style="179" customWidth="1"/>
    <col min="9754" max="9977" width="10.7265625" style="179" customWidth="1"/>
    <col min="9978" max="9978" width="14.26953125" style="179" bestFit="1" customWidth="1"/>
    <col min="9979" max="9980" width="10.7265625" style="179" customWidth="1"/>
    <col min="9981" max="9981" width="19.7265625" style="179" bestFit="1" customWidth="1"/>
    <col min="9982" max="9982" width="26.7265625" style="179" bestFit="1" customWidth="1"/>
    <col min="9983" max="9983" width="12.453125" style="179" bestFit="1" customWidth="1"/>
    <col min="9984" max="9984" width="11" style="179"/>
    <col min="9985" max="9985" width="36.81640625" style="179" customWidth="1"/>
    <col min="9986" max="9986" width="11.26953125" style="179" customWidth="1"/>
    <col min="9987" max="9987" width="31.26953125" style="179" customWidth="1"/>
    <col min="9988" max="9988" width="9.81640625" style="179" customWidth="1"/>
    <col min="9989" max="9989" width="11.7265625" style="179" customWidth="1"/>
    <col min="9990" max="9990" width="16.54296875" style="179" customWidth="1"/>
    <col min="9991" max="9991" width="14.7265625" style="179" customWidth="1"/>
    <col min="9992" max="9992" width="14.54296875" style="179" bestFit="1" customWidth="1"/>
    <col min="9993" max="9993" width="0" style="179" hidden="1" customWidth="1"/>
    <col min="9994" max="9994" width="15.54296875" style="179" customWidth="1"/>
    <col min="9995" max="9995" width="13.81640625" style="179" bestFit="1" customWidth="1"/>
    <col min="9996" max="9996" width="0.81640625" style="179" customWidth="1"/>
    <col min="9997" max="9997" width="13.7265625" style="179" customWidth="1"/>
    <col min="9998" max="9998" width="14.26953125" style="179" customWidth="1"/>
    <col min="9999" max="9999" width="23.453125" style="179" customWidth="1"/>
    <col min="10000" max="10000" width="19.1796875" style="179" customWidth="1"/>
    <col min="10001" max="10001" width="15.81640625" style="179" customWidth="1"/>
    <col min="10002" max="10003" width="20.1796875" style="179" customWidth="1"/>
    <col min="10004" max="10004" width="17.26953125" style="179" customWidth="1"/>
    <col min="10005" max="10008" width="12.26953125" style="179" customWidth="1"/>
    <col min="10009" max="10009" width="11.26953125" style="179" customWidth="1"/>
    <col min="10010" max="10233" width="10.7265625" style="179" customWidth="1"/>
    <col min="10234" max="10234" width="14.26953125" style="179" bestFit="1" customWidth="1"/>
    <col min="10235" max="10236" width="10.7265625" style="179" customWidth="1"/>
    <col min="10237" max="10237" width="19.7265625" style="179" bestFit="1" customWidth="1"/>
    <col min="10238" max="10238" width="26.7265625" style="179" bestFit="1" customWidth="1"/>
    <col min="10239" max="10239" width="12.453125" style="179" bestFit="1" customWidth="1"/>
    <col min="10240" max="10240" width="11" style="179"/>
    <col min="10241" max="10241" width="36.81640625" style="179" customWidth="1"/>
    <col min="10242" max="10242" width="11.26953125" style="179" customWidth="1"/>
    <col min="10243" max="10243" width="31.26953125" style="179" customWidth="1"/>
    <col min="10244" max="10244" width="9.81640625" style="179" customWidth="1"/>
    <col min="10245" max="10245" width="11.7265625" style="179" customWidth="1"/>
    <col min="10246" max="10246" width="16.54296875" style="179" customWidth="1"/>
    <col min="10247" max="10247" width="14.7265625" style="179" customWidth="1"/>
    <col min="10248" max="10248" width="14.54296875" style="179" bestFit="1" customWidth="1"/>
    <col min="10249" max="10249" width="0" style="179" hidden="1" customWidth="1"/>
    <col min="10250" max="10250" width="15.54296875" style="179" customWidth="1"/>
    <col min="10251" max="10251" width="13.81640625" style="179" bestFit="1" customWidth="1"/>
    <col min="10252" max="10252" width="0.81640625" style="179" customWidth="1"/>
    <col min="10253" max="10253" width="13.7265625" style="179" customWidth="1"/>
    <col min="10254" max="10254" width="14.26953125" style="179" customWidth="1"/>
    <col min="10255" max="10255" width="23.453125" style="179" customWidth="1"/>
    <col min="10256" max="10256" width="19.1796875" style="179" customWidth="1"/>
    <col min="10257" max="10257" width="15.81640625" style="179" customWidth="1"/>
    <col min="10258" max="10259" width="20.1796875" style="179" customWidth="1"/>
    <col min="10260" max="10260" width="17.26953125" style="179" customWidth="1"/>
    <col min="10261" max="10264" width="12.26953125" style="179" customWidth="1"/>
    <col min="10265" max="10265" width="11.26953125" style="179" customWidth="1"/>
    <col min="10266" max="10489" width="10.7265625" style="179" customWidth="1"/>
    <col min="10490" max="10490" width="14.26953125" style="179" bestFit="1" customWidth="1"/>
    <col min="10491" max="10492" width="10.7265625" style="179" customWidth="1"/>
    <col min="10493" max="10493" width="19.7265625" style="179" bestFit="1" customWidth="1"/>
    <col min="10494" max="10494" width="26.7265625" style="179" bestFit="1" customWidth="1"/>
    <col min="10495" max="10495" width="12.453125" style="179" bestFit="1" customWidth="1"/>
    <col min="10496" max="10496" width="11" style="179"/>
    <col min="10497" max="10497" width="36.81640625" style="179" customWidth="1"/>
    <col min="10498" max="10498" width="11.26953125" style="179" customWidth="1"/>
    <col min="10499" max="10499" width="31.26953125" style="179" customWidth="1"/>
    <col min="10500" max="10500" width="9.81640625" style="179" customWidth="1"/>
    <col min="10501" max="10501" width="11.7265625" style="179" customWidth="1"/>
    <col min="10502" max="10502" width="16.54296875" style="179" customWidth="1"/>
    <col min="10503" max="10503" width="14.7265625" style="179" customWidth="1"/>
    <col min="10504" max="10504" width="14.54296875" style="179" bestFit="1" customWidth="1"/>
    <col min="10505" max="10505" width="0" style="179" hidden="1" customWidth="1"/>
    <col min="10506" max="10506" width="15.54296875" style="179" customWidth="1"/>
    <col min="10507" max="10507" width="13.81640625" style="179" bestFit="1" customWidth="1"/>
    <col min="10508" max="10508" width="0.81640625" style="179" customWidth="1"/>
    <col min="10509" max="10509" width="13.7265625" style="179" customWidth="1"/>
    <col min="10510" max="10510" width="14.26953125" style="179" customWidth="1"/>
    <col min="10511" max="10511" width="23.453125" style="179" customWidth="1"/>
    <col min="10512" max="10512" width="19.1796875" style="179" customWidth="1"/>
    <col min="10513" max="10513" width="15.81640625" style="179" customWidth="1"/>
    <col min="10514" max="10515" width="20.1796875" style="179" customWidth="1"/>
    <col min="10516" max="10516" width="17.26953125" style="179" customWidth="1"/>
    <col min="10517" max="10520" width="12.26953125" style="179" customWidth="1"/>
    <col min="10521" max="10521" width="11.26953125" style="179" customWidth="1"/>
    <col min="10522" max="10745" width="10.7265625" style="179" customWidth="1"/>
    <col min="10746" max="10746" width="14.26953125" style="179" bestFit="1" customWidth="1"/>
    <col min="10747" max="10748" width="10.7265625" style="179" customWidth="1"/>
    <col min="10749" max="10749" width="19.7265625" style="179" bestFit="1" customWidth="1"/>
    <col min="10750" max="10750" width="26.7265625" style="179" bestFit="1" customWidth="1"/>
    <col min="10751" max="10751" width="12.453125" style="179" bestFit="1" customWidth="1"/>
    <col min="10752" max="10752" width="11" style="179"/>
    <col min="10753" max="10753" width="36.81640625" style="179" customWidth="1"/>
    <col min="10754" max="10754" width="11.26953125" style="179" customWidth="1"/>
    <col min="10755" max="10755" width="31.26953125" style="179" customWidth="1"/>
    <col min="10756" max="10756" width="9.81640625" style="179" customWidth="1"/>
    <col min="10757" max="10757" width="11.7265625" style="179" customWidth="1"/>
    <col min="10758" max="10758" width="16.54296875" style="179" customWidth="1"/>
    <col min="10759" max="10759" width="14.7265625" style="179" customWidth="1"/>
    <col min="10760" max="10760" width="14.54296875" style="179" bestFit="1" customWidth="1"/>
    <col min="10761" max="10761" width="0" style="179" hidden="1" customWidth="1"/>
    <col min="10762" max="10762" width="15.54296875" style="179" customWidth="1"/>
    <col min="10763" max="10763" width="13.81640625" style="179" bestFit="1" customWidth="1"/>
    <col min="10764" max="10764" width="0.81640625" style="179" customWidth="1"/>
    <col min="10765" max="10765" width="13.7265625" style="179" customWidth="1"/>
    <col min="10766" max="10766" width="14.26953125" style="179" customWidth="1"/>
    <col min="10767" max="10767" width="23.453125" style="179" customWidth="1"/>
    <col min="10768" max="10768" width="19.1796875" style="179" customWidth="1"/>
    <col min="10769" max="10769" width="15.81640625" style="179" customWidth="1"/>
    <col min="10770" max="10771" width="20.1796875" style="179" customWidth="1"/>
    <col min="10772" max="10772" width="17.26953125" style="179" customWidth="1"/>
    <col min="10773" max="10776" width="12.26953125" style="179" customWidth="1"/>
    <col min="10777" max="10777" width="11.26953125" style="179" customWidth="1"/>
    <col min="10778" max="11001" width="10.7265625" style="179" customWidth="1"/>
    <col min="11002" max="11002" width="14.26953125" style="179" bestFit="1" customWidth="1"/>
    <col min="11003" max="11004" width="10.7265625" style="179" customWidth="1"/>
    <col min="11005" max="11005" width="19.7265625" style="179" bestFit="1" customWidth="1"/>
    <col min="11006" max="11006" width="26.7265625" style="179" bestFit="1" customWidth="1"/>
    <col min="11007" max="11007" width="12.453125" style="179" bestFit="1" customWidth="1"/>
    <col min="11008" max="11008" width="11" style="179"/>
    <col min="11009" max="11009" width="36.81640625" style="179" customWidth="1"/>
    <col min="11010" max="11010" width="11.26953125" style="179" customWidth="1"/>
    <col min="11011" max="11011" width="31.26953125" style="179" customWidth="1"/>
    <col min="11012" max="11012" width="9.81640625" style="179" customWidth="1"/>
    <col min="11013" max="11013" width="11.7265625" style="179" customWidth="1"/>
    <col min="11014" max="11014" width="16.54296875" style="179" customWidth="1"/>
    <col min="11015" max="11015" width="14.7265625" style="179" customWidth="1"/>
    <col min="11016" max="11016" width="14.54296875" style="179" bestFit="1" customWidth="1"/>
    <col min="11017" max="11017" width="0" style="179" hidden="1" customWidth="1"/>
    <col min="11018" max="11018" width="15.54296875" style="179" customWidth="1"/>
    <col min="11019" max="11019" width="13.81640625" style="179" bestFit="1" customWidth="1"/>
    <col min="11020" max="11020" width="0.81640625" style="179" customWidth="1"/>
    <col min="11021" max="11021" width="13.7265625" style="179" customWidth="1"/>
    <col min="11022" max="11022" width="14.26953125" style="179" customWidth="1"/>
    <col min="11023" max="11023" width="23.453125" style="179" customWidth="1"/>
    <col min="11024" max="11024" width="19.1796875" style="179" customWidth="1"/>
    <col min="11025" max="11025" width="15.81640625" style="179" customWidth="1"/>
    <col min="11026" max="11027" width="20.1796875" style="179" customWidth="1"/>
    <col min="11028" max="11028" width="17.26953125" style="179" customWidth="1"/>
    <col min="11029" max="11032" width="12.26953125" style="179" customWidth="1"/>
    <col min="11033" max="11033" width="11.26953125" style="179" customWidth="1"/>
    <col min="11034" max="11257" width="10.7265625" style="179" customWidth="1"/>
    <col min="11258" max="11258" width="14.26953125" style="179" bestFit="1" customWidth="1"/>
    <col min="11259" max="11260" width="10.7265625" style="179" customWidth="1"/>
    <col min="11261" max="11261" width="19.7265625" style="179" bestFit="1" customWidth="1"/>
    <col min="11262" max="11262" width="26.7265625" style="179" bestFit="1" customWidth="1"/>
    <col min="11263" max="11263" width="12.453125" style="179" bestFit="1" customWidth="1"/>
    <col min="11264" max="11264" width="11" style="179"/>
    <col min="11265" max="11265" width="36.81640625" style="179" customWidth="1"/>
    <col min="11266" max="11266" width="11.26953125" style="179" customWidth="1"/>
    <col min="11267" max="11267" width="31.26953125" style="179" customWidth="1"/>
    <col min="11268" max="11268" width="9.81640625" style="179" customWidth="1"/>
    <col min="11269" max="11269" width="11.7265625" style="179" customWidth="1"/>
    <col min="11270" max="11270" width="16.54296875" style="179" customWidth="1"/>
    <col min="11271" max="11271" width="14.7265625" style="179" customWidth="1"/>
    <col min="11272" max="11272" width="14.54296875" style="179" bestFit="1" customWidth="1"/>
    <col min="11273" max="11273" width="0" style="179" hidden="1" customWidth="1"/>
    <col min="11274" max="11274" width="15.54296875" style="179" customWidth="1"/>
    <col min="11275" max="11275" width="13.81640625" style="179" bestFit="1" customWidth="1"/>
    <col min="11276" max="11276" width="0.81640625" style="179" customWidth="1"/>
    <col min="11277" max="11277" width="13.7265625" style="179" customWidth="1"/>
    <col min="11278" max="11278" width="14.26953125" style="179" customWidth="1"/>
    <col min="11279" max="11279" width="23.453125" style="179" customWidth="1"/>
    <col min="11280" max="11280" width="19.1796875" style="179" customWidth="1"/>
    <col min="11281" max="11281" width="15.81640625" style="179" customWidth="1"/>
    <col min="11282" max="11283" width="20.1796875" style="179" customWidth="1"/>
    <col min="11284" max="11284" width="17.26953125" style="179" customWidth="1"/>
    <col min="11285" max="11288" width="12.26953125" style="179" customWidth="1"/>
    <col min="11289" max="11289" width="11.26953125" style="179" customWidth="1"/>
    <col min="11290" max="11513" width="10.7265625" style="179" customWidth="1"/>
    <col min="11514" max="11514" width="14.26953125" style="179" bestFit="1" customWidth="1"/>
    <col min="11515" max="11516" width="10.7265625" style="179" customWidth="1"/>
    <col min="11517" max="11517" width="19.7265625" style="179" bestFit="1" customWidth="1"/>
    <col min="11518" max="11518" width="26.7265625" style="179" bestFit="1" customWidth="1"/>
    <col min="11519" max="11519" width="12.453125" style="179" bestFit="1" customWidth="1"/>
    <col min="11520" max="11520" width="11" style="179"/>
    <col min="11521" max="11521" width="36.81640625" style="179" customWidth="1"/>
    <col min="11522" max="11522" width="11.26953125" style="179" customWidth="1"/>
    <col min="11523" max="11523" width="31.26953125" style="179" customWidth="1"/>
    <col min="11524" max="11524" width="9.81640625" style="179" customWidth="1"/>
    <col min="11525" max="11525" width="11.7265625" style="179" customWidth="1"/>
    <col min="11526" max="11526" width="16.54296875" style="179" customWidth="1"/>
    <col min="11527" max="11527" width="14.7265625" style="179" customWidth="1"/>
    <col min="11528" max="11528" width="14.54296875" style="179" bestFit="1" customWidth="1"/>
    <col min="11529" max="11529" width="0" style="179" hidden="1" customWidth="1"/>
    <col min="11530" max="11530" width="15.54296875" style="179" customWidth="1"/>
    <col min="11531" max="11531" width="13.81640625" style="179" bestFit="1" customWidth="1"/>
    <col min="11532" max="11532" width="0.81640625" style="179" customWidth="1"/>
    <col min="11533" max="11533" width="13.7265625" style="179" customWidth="1"/>
    <col min="11534" max="11534" width="14.26953125" style="179" customWidth="1"/>
    <col min="11535" max="11535" width="23.453125" style="179" customWidth="1"/>
    <col min="11536" max="11536" width="19.1796875" style="179" customWidth="1"/>
    <col min="11537" max="11537" width="15.81640625" style="179" customWidth="1"/>
    <col min="11538" max="11539" width="20.1796875" style="179" customWidth="1"/>
    <col min="11540" max="11540" width="17.26953125" style="179" customWidth="1"/>
    <col min="11541" max="11544" width="12.26953125" style="179" customWidth="1"/>
    <col min="11545" max="11545" width="11.26953125" style="179" customWidth="1"/>
    <col min="11546" max="11769" width="10.7265625" style="179" customWidth="1"/>
    <col min="11770" max="11770" width="14.26953125" style="179" bestFit="1" customWidth="1"/>
    <col min="11771" max="11772" width="10.7265625" style="179" customWidth="1"/>
    <col min="11773" max="11773" width="19.7265625" style="179" bestFit="1" customWidth="1"/>
    <col min="11774" max="11774" width="26.7265625" style="179" bestFit="1" customWidth="1"/>
    <col min="11775" max="11775" width="12.453125" style="179" bestFit="1" customWidth="1"/>
    <col min="11776" max="11776" width="11" style="179"/>
    <col min="11777" max="11777" width="36.81640625" style="179" customWidth="1"/>
    <col min="11778" max="11778" width="11.26953125" style="179" customWidth="1"/>
    <col min="11779" max="11779" width="31.26953125" style="179" customWidth="1"/>
    <col min="11780" max="11780" width="9.81640625" style="179" customWidth="1"/>
    <col min="11781" max="11781" width="11.7265625" style="179" customWidth="1"/>
    <col min="11782" max="11782" width="16.54296875" style="179" customWidth="1"/>
    <col min="11783" max="11783" width="14.7265625" style="179" customWidth="1"/>
    <col min="11784" max="11784" width="14.54296875" style="179" bestFit="1" customWidth="1"/>
    <col min="11785" max="11785" width="0" style="179" hidden="1" customWidth="1"/>
    <col min="11786" max="11786" width="15.54296875" style="179" customWidth="1"/>
    <col min="11787" max="11787" width="13.81640625" style="179" bestFit="1" customWidth="1"/>
    <col min="11788" max="11788" width="0.81640625" style="179" customWidth="1"/>
    <col min="11789" max="11789" width="13.7265625" style="179" customWidth="1"/>
    <col min="11790" max="11790" width="14.26953125" style="179" customWidth="1"/>
    <col min="11791" max="11791" width="23.453125" style="179" customWidth="1"/>
    <col min="11792" max="11792" width="19.1796875" style="179" customWidth="1"/>
    <col min="11793" max="11793" width="15.81640625" style="179" customWidth="1"/>
    <col min="11794" max="11795" width="20.1796875" style="179" customWidth="1"/>
    <col min="11796" max="11796" width="17.26953125" style="179" customWidth="1"/>
    <col min="11797" max="11800" width="12.26953125" style="179" customWidth="1"/>
    <col min="11801" max="11801" width="11.26953125" style="179" customWidth="1"/>
    <col min="11802" max="12025" width="10.7265625" style="179" customWidth="1"/>
    <col min="12026" max="12026" width="14.26953125" style="179" bestFit="1" customWidth="1"/>
    <col min="12027" max="12028" width="10.7265625" style="179" customWidth="1"/>
    <col min="12029" max="12029" width="19.7265625" style="179" bestFit="1" customWidth="1"/>
    <col min="12030" max="12030" width="26.7265625" style="179" bestFit="1" customWidth="1"/>
    <col min="12031" max="12031" width="12.453125" style="179" bestFit="1" customWidth="1"/>
    <col min="12032" max="12032" width="11" style="179"/>
    <col min="12033" max="12033" width="36.81640625" style="179" customWidth="1"/>
    <col min="12034" max="12034" width="11.26953125" style="179" customWidth="1"/>
    <col min="12035" max="12035" width="31.26953125" style="179" customWidth="1"/>
    <col min="12036" max="12036" width="9.81640625" style="179" customWidth="1"/>
    <col min="12037" max="12037" width="11.7265625" style="179" customWidth="1"/>
    <col min="12038" max="12038" width="16.54296875" style="179" customWidth="1"/>
    <col min="12039" max="12039" width="14.7265625" style="179" customWidth="1"/>
    <col min="12040" max="12040" width="14.54296875" style="179" bestFit="1" customWidth="1"/>
    <col min="12041" max="12041" width="0" style="179" hidden="1" customWidth="1"/>
    <col min="12042" max="12042" width="15.54296875" style="179" customWidth="1"/>
    <col min="12043" max="12043" width="13.81640625" style="179" bestFit="1" customWidth="1"/>
    <col min="12044" max="12044" width="0.81640625" style="179" customWidth="1"/>
    <col min="12045" max="12045" width="13.7265625" style="179" customWidth="1"/>
    <col min="12046" max="12046" width="14.26953125" style="179" customWidth="1"/>
    <col min="12047" max="12047" width="23.453125" style="179" customWidth="1"/>
    <col min="12048" max="12048" width="19.1796875" style="179" customWidth="1"/>
    <col min="12049" max="12049" width="15.81640625" style="179" customWidth="1"/>
    <col min="12050" max="12051" width="20.1796875" style="179" customWidth="1"/>
    <col min="12052" max="12052" width="17.26953125" style="179" customWidth="1"/>
    <col min="12053" max="12056" width="12.26953125" style="179" customWidth="1"/>
    <col min="12057" max="12057" width="11.26953125" style="179" customWidth="1"/>
    <col min="12058" max="12281" width="10.7265625" style="179" customWidth="1"/>
    <col min="12282" max="12282" width="14.26953125" style="179" bestFit="1" customWidth="1"/>
    <col min="12283" max="12284" width="10.7265625" style="179" customWidth="1"/>
    <col min="12285" max="12285" width="19.7265625" style="179" bestFit="1" customWidth="1"/>
    <col min="12286" max="12286" width="26.7265625" style="179" bestFit="1" customWidth="1"/>
    <col min="12287" max="12287" width="12.453125" style="179" bestFit="1" customWidth="1"/>
    <col min="12288" max="12288" width="11" style="179"/>
    <col min="12289" max="12289" width="36.81640625" style="179" customWidth="1"/>
    <col min="12290" max="12290" width="11.26953125" style="179" customWidth="1"/>
    <col min="12291" max="12291" width="31.26953125" style="179" customWidth="1"/>
    <col min="12292" max="12292" width="9.81640625" style="179" customWidth="1"/>
    <col min="12293" max="12293" width="11.7265625" style="179" customWidth="1"/>
    <col min="12294" max="12294" width="16.54296875" style="179" customWidth="1"/>
    <col min="12295" max="12295" width="14.7265625" style="179" customWidth="1"/>
    <col min="12296" max="12296" width="14.54296875" style="179" bestFit="1" customWidth="1"/>
    <col min="12297" max="12297" width="0" style="179" hidden="1" customWidth="1"/>
    <col min="12298" max="12298" width="15.54296875" style="179" customWidth="1"/>
    <col min="12299" max="12299" width="13.81640625" style="179" bestFit="1" customWidth="1"/>
    <col min="12300" max="12300" width="0.81640625" style="179" customWidth="1"/>
    <col min="12301" max="12301" width="13.7265625" style="179" customWidth="1"/>
    <col min="12302" max="12302" width="14.26953125" style="179" customWidth="1"/>
    <col min="12303" max="12303" width="23.453125" style="179" customWidth="1"/>
    <col min="12304" max="12304" width="19.1796875" style="179" customWidth="1"/>
    <col min="12305" max="12305" width="15.81640625" style="179" customWidth="1"/>
    <col min="12306" max="12307" width="20.1796875" style="179" customWidth="1"/>
    <col min="12308" max="12308" width="17.26953125" style="179" customWidth="1"/>
    <col min="12309" max="12312" width="12.26953125" style="179" customWidth="1"/>
    <col min="12313" max="12313" width="11.26953125" style="179" customWidth="1"/>
    <col min="12314" max="12537" width="10.7265625" style="179" customWidth="1"/>
    <col min="12538" max="12538" width="14.26953125" style="179" bestFit="1" customWidth="1"/>
    <col min="12539" max="12540" width="10.7265625" style="179" customWidth="1"/>
    <col min="12541" max="12541" width="19.7265625" style="179" bestFit="1" customWidth="1"/>
    <col min="12542" max="12542" width="26.7265625" style="179" bestFit="1" customWidth="1"/>
    <col min="12543" max="12543" width="12.453125" style="179" bestFit="1" customWidth="1"/>
    <col min="12544" max="12544" width="11" style="179"/>
    <col min="12545" max="12545" width="36.81640625" style="179" customWidth="1"/>
    <col min="12546" max="12546" width="11.26953125" style="179" customWidth="1"/>
    <col min="12547" max="12547" width="31.26953125" style="179" customWidth="1"/>
    <col min="12548" max="12548" width="9.81640625" style="179" customWidth="1"/>
    <col min="12549" max="12549" width="11.7265625" style="179" customWidth="1"/>
    <col min="12550" max="12550" width="16.54296875" style="179" customWidth="1"/>
    <col min="12551" max="12551" width="14.7265625" style="179" customWidth="1"/>
    <col min="12552" max="12552" width="14.54296875" style="179" bestFit="1" customWidth="1"/>
    <col min="12553" max="12553" width="0" style="179" hidden="1" customWidth="1"/>
    <col min="12554" max="12554" width="15.54296875" style="179" customWidth="1"/>
    <col min="12555" max="12555" width="13.81640625" style="179" bestFit="1" customWidth="1"/>
    <col min="12556" max="12556" width="0.81640625" style="179" customWidth="1"/>
    <col min="12557" max="12557" width="13.7265625" style="179" customWidth="1"/>
    <col min="12558" max="12558" width="14.26953125" style="179" customWidth="1"/>
    <col min="12559" max="12559" width="23.453125" style="179" customWidth="1"/>
    <col min="12560" max="12560" width="19.1796875" style="179" customWidth="1"/>
    <col min="12561" max="12561" width="15.81640625" style="179" customWidth="1"/>
    <col min="12562" max="12563" width="20.1796875" style="179" customWidth="1"/>
    <col min="12564" max="12564" width="17.26953125" style="179" customWidth="1"/>
    <col min="12565" max="12568" width="12.26953125" style="179" customWidth="1"/>
    <col min="12569" max="12569" width="11.26953125" style="179" customWidth="1"/>
    <col min="12570" max="12793" width="10.7265625" style="179" customWidth="1"/>
    <col min="12794" max="12794" width="14.26953125" style="179" bestFit="1" customWidth="1"/>
    <col min="12795" max="12796" width="10.7265625" style="179" customWidth="1"/>
    <col min="12797" max="12797" width="19.7265625" style="179" bestFit="1" customWidth="1"/>
    <col min="12798" max="12798" width="26.7265625" style="179" bestFit="1" customWidth="1"/>
    <col min="12799" max="12799" width="12.453125" style="179" bestFit="1" customWidth="1"/>
    <col min="12800" max="12800" width="11" style="179"/>
    <col min="12801" max="12801" width="36.81640625" style="179" customWidth="1"/>
    <col min="12802" max="12802" width="11.26953125" style="179" customWidth="1"/>
    <col min="12803" max="12803" width="31.26953125" style="179" customWidth="1"/>
    <col min="12804" max="12804" width="9.81640625" style="179" customWidth="1"/>
    <col min="12805" max="12805" width="11.7265625" style="179" customWidth="1"/>
    <col min="12806" max="12806" width="16.54296875" style="179" customWidth="1"/>
    <col min="12807" max="12807" width="14.7265625" style="179" customWidth="1"/>
    <col min="12808" max="12808" width="14.54296875" style="179" bestFit="1" customWidth="1"/>
    <col min="12809" max="12809" width="0" style="179" hidden="1" customWidth="1"/>
    <col min="12810" max="12810" width="15.54296875" style="179" customWidth="1"/>
    <col min="12811" max="12811" width="13.81640625" style="179" bestFit="1" customWidth="1"/>
    <col min="12812" max="12812" width="0.81640625" style="179" customWidth="1"/>
    <col min="12813" max="12813" width="13.7265625" style="179" customWidth="1"/>
    <col min="12814" max="12814" width="14.26953125" style="179" customWidth="1"/>
    <col min="12815" max="12815" width="23.453125" style="179" customWidth="1"/>
    <col min="12816" max="12816" width="19.1796875" style="179" customWidth="1"/>
    <col min="12817" max="12817" width="15.81640625" style="179" customWidth="1"/>
    <col min="12818" max="12819" width="20.1796875" style="179" customWidth="1"/>
    <col min="12820" max="12820" width="17.26953125" style="179" customWidth="1"/>
    <col min="12821" max="12824" width="12.26953125" style="179" customWidth="1"/>
    <col min="12825" max="12825" width="11.26953125" style="179" customWidth="1"/>
    <col min="12826" max="13049" width="10.7265625" style="179" customWidth="1"/>
    <col min="13050" max="13050" width="14.26953125" style="179" bestFit="1" customWidth="1"/>
    <col min="13051" max="13052" width="10.7265625" style="179" customWidth="1"/>
    <col min="13053" max="13053" width="19.7265625" style="179" bestFit="1" customWidth="1"/>
    <col min="13054" max="13054" width="26.7265625" style="179" bestFit="1" customWidth="1"/>
    <col min="13055" max="13055" width="12.453125" style="179" bestFit="1" customWidth="1"/>
    <col min="13056" max="13056" width="11" style="179"/>
    <col min="13057" max="13057" width="36.81640625" style="179" customWidth="1"/>
    <col min="13058" max="13058" width="11.26953125" style="179" customWidth="1"/>
    <col min="13059" max="13059" width="31.26953125" style="179" customWidth="1"/>
    <col min="13060" max="13060" width="9.81640625" style="179" customWidth="1"/>
    <col min="13061" max="13061" width="11.7265625" style="179" customWidth="1"/>
    <col min="13062" max="13062" width="16.54296875" style="179" customWidth="1"/>
    <col min="13063" max="13063" width="14.7265625" style="179" customWidth="1"/>
    <col min="13064" max="13064" width="14.54296875" style="179" bestFit="1" customWidth="1"/>
    <col min="13065" max="13065" width="0" style="179" hidden="1" customWidth="1"/>
    <col min="13066" max="13066" width="15.54296875" style="179" customWidth="1"/>
    <col min="13067" max="13067" width="13.81640625" style="179" bestFit="1" customWidth="1"/>
    <col min="13068" max="13068" width="0.81640625" style="179" customWidth="1"/>
    <col min="13069" max="13069" width="13.7265625" style="179" customWidth="1"/>
    <col min="13070" max="13070" width="14.26953125" style="179" customWidth="1"/>
    <col min="13071" max="13071" width="23.453125" style="179" customWidth="1"/>
    <col min="13072" max="13072" width="19.1796875" style="179" customWidth="1"/>
    <col min="13073" max="13073" width="15.81640625" style="179" customWidth="1"/>
    <col min="13074" max="13075" width="20.1796875" style="179" customWidth="1"/>
    <col min="13076" max="13076" width="17.26953125" style="179" customWidth="1"/>
    <col min="13077" max="13080" width="12.26953125" style="179" customWidth="1"/>
    <col min="13081" max="13081" width="11.26953125" style="179" customWidth="1"/>
    <col min="13082" max="13305" width="10.7265625" style="179" customWidth="1"/>
    <col min="13306" max="13306" width="14.26953125" style="179" bestFit="1" customWidth="1"/>
    <col min="13307" max="13308" width="10.7265625" style="179" customWidth="1"/>
    <col min="13309" max="13309" width="19.7265625" style="179" bestFit="1" customWidth="1"/>
    <col min="13310" max="13310" width="26.7265625" style="179" bestFit="1" customWidth="1"/>
    <col min="13311" max="13311" width="12.453125" style="179" bestFit="1" customWidth="1"/>
    <col min="13312" max="13312" width="11" style="179"/>
    <col min="13313" max="13313" width="36.81640625" style="179" customWidth="1"/>
    <col min="13314" max="13314" width="11.26953125" style="179" customWidth="1"/>
    <col min="13315" max="13315" width="31.26953125" style="179" customWidth="1"/>
    <col min="13316" max="13316" width="9.81640625" style="179" customWidth="1"/>
    <col min="13317" max="13317" width="11.7265625" style="179" customWidth="1"/>
    <col min="13318" max="13318" width="16.54296875" style="179" customWidth="1"/>
    <col min="13319" max="13319" width="14.7265625" style="179" customWidth="1"/>
    <col min="13320" max="13320" width="14.54296875" style="179" bestFit="1" customWidth="1"/>
    <col min="13321" max="13321" width="0" style="179" hidden="1" customWidth="1"/>
    <col min="13322" max="13322" width="15.54296875" style="179" customWidth="1"/>
    <col min="13323" max="13323" width="13.81640625" style="179" bestFit="1" customWidth="1"/>
    <col min="13324" max="13324" width="0.81640625" style="179" customWidth="1"/>
    <col min="13325" max="13325" width="13.7265625" style="179" customWidth="1"/>
    <col min="13326" max="13326" width="14.26953125" style="179" customWidth="1"/>
    <col min="13327" max="13327" width="23.453125" style="179" customWidth="1"/>
    <col min="13328" max="13328" width="19.1796875" style="179" customWidth="1"/>
    <col min="13329" max="13329" width="15.81640625" style="179" customWidth="1"/>
    <col min="13330" max="13331" width="20.1796875" style="179" customWidth="1"/>
    <col min="13332" max="13332" width="17.26953125" style="179" customWidth="1"/>
    <col min="13333" max="13336" width="12.26953125" style="179" customWidth="1"/>
    <col min="13337" max="13337" width="11.26953125" style="179" customWidth="1"/>
    <col min="13338" max="13561" width="10.7265625" style="179" customWidth="1"/>
    <col min="13562" max="13562" width="14.26953125" style="179" bestFit="1" customWidth="1"/>
    <col min="13563" max="13564" width="10.7265625" style="179" customWidth="1"/>
    <col min="13565" max="13565" width="19.7265625" style="179" bestFit="1" customWidth="1"/>
    <col min="13566" max="13566" width="26.7265625" style="179" bestFit="1" customWidth="1"/>
    <col min="13567" max="13567" width="12.453125" style="179" bestFit="1" customWidth="1"/>
    <col min="13568" max="13568" width="11" style="179"/>
    <col min="13569" max="13569" width="36.81640625" style="179" customWidth="1"/>
    <col min="13570" max="13570" width="11.26953125" style="179" customWidth="1"/>
    <col min="13571" max="13571" width="31.26953125" style="179" customWidth="1"/>
    <col min="13572" max="13572" width="9.81640625" style="179" customWidth="1"/>
    <col min="13573" max="13573" width="11.7265625" style="179" customWidth="1"/>
    <col min="13574" max="13574" width="16.54296875" style="179" customWidth="1"/>
    <col min="13575" max="13575" width="14.7265625" style="179" customWidth="1"/>
    <col min="13576" max="13576" width="14.54296875" style="179" bestFit="1" customWidth="1"/>
    <col min="13577" max="13577" width="0" style="179" hidden="1" customWidth="1"/>
    <col min="13578" max="13578" width="15.54296875" style="179" customWidth="1"/>
    <col min="13579" max="13579" width="13.81640625" style="179" bestFit="1" customWidth="1"/>
    <col min="13580" max="13580" width="0.81640625" style="179" customWidth="1"/>
    <col min="13581" max="13581" width="13.7265625" style="179" customWidth="1"/>
    <col min="13582" max="13582" width="14.26953125" style="179" customWidth="1"/>
    <col min="13583" max="13583" width="23.453125" style="179" customWidth="1"/>
    <col min="13584" max="13584" width="19.1796875" style="179" customWidth="1"/>
    <col min="13585" max="13585" width="15.81640625" style="179" customWidth="1"/>
    <col min="13586" max="13587" width="20.1796875" style="179" customWidth="1"/>
    <col min="13588" max="13588" width="17.26953125" style="179" customWidth="1"/>
    <col min="13589" max="13592" width="12.26953125" style="179" customWidth="1"/>
    <col min="13593" max="13593" width="11.26953125" style="179" customWidth="1"/>
    <col min="13594" max="13817" width="10.7265625" style="179" customWidth="1"/>
    <col min="13818" max="13818" width="14.26953125" style="179" bestFit="1" customWidth="1"/>
    <col min="13819" max="13820" width="10.7265625" style="179" customWidth="1"/>
    <col min="13821" max="13821" width="19.7265625" style="179" bestFit="1" customWidth="1"/>
    <col min="13822" max="13822" width="26.7265625" style="179" bestFit="1" customWidth="1"/>
    <col min="13823" max="13823" width="12.453125" style="179" bestFit="1" customWidth="1"/>
    <col min="13824" max="13824" width="11" style="179"/>
    <col min="13825" max="13825" width="36.81640625" style="179" customWidth="1"/>
    <col min="13826" max="13826" width="11.26953125" style="179" customWidth="1"/>
    <col min="13827" max="13827" width="31.26953125" style="179" customWidth="1"/>
    <col min="13828" max="13828" width="9.81640625" style="179" customWidth="1"/>
    <col min="13829" max="13829" width="11.7265625" style="179" customWidth="1"/>
    <col min="13830" max="13830" width="16.54296875" style="179" customWidth="1"/>
    <col min="13831" max="13831" width="14.7265625" style="179" customWidth="1"/>
    <col min="13832" max="13832" width="14.54296875" style="179" bestFit="1" customWidth="1"/>
    <col min="13833" max="13833" width="0" style="179" hidden="1" customWidth="1"/>
    <col min="13834" max="13834" width="15.54296875" style="179" customWidth="1"/>
    <col min="13835" max="13835" width="13.81640625" style="179" bestFit="1" customWidth="1"/>
    <col min="13836" max="13836" width="0.81640625" style="179" customWidth="1"/>
    <col min="13837" max="13837" width="13.7265625" style="179" customWidth="1"/>
    <col min="13838" max="13838" width="14.26953125" style="179" customWidth="1"/>
    <col min="13839" max="13839" width="23.453125" style="179" customWidth="1"/>
    <col min="13840" max="13840" width="19.1796875" style="179" customWidth="1"/>
    <col min="13841" max="13841" width="15.81640625" style="179" customWidth="1"/>
    <col min="13842" max="13843" width="20.1796875" style="179" customWidth="1"/>
    <col min="13844" max="13844" width="17.26953125" style="179" customWidth="1"/>
    <col min="13845" max="13848" width="12.26953125" style="179" customWidth="1"/>
    <col min="13849" max="13849" width="11.26953125" style="179" customWidth="1"/>
    <col min="13850" max="14073" width="10.7265625" style="179" customWidth="1"/>
    <col min="14074" max="14074" width="14.26953125" style="179" bestFit="1" customWidth="1"/>
    <col min="14075" max="14076" width="10.7265625" style="179" customWidth="1"/>
    <col min="14077" max="14077" width="19.7265625" style="179" bestFit="1" customWidth="1"/>
    <col min="14078" max="14078" width="26.7265625" style="179" bestFit="1" customWidth="1"/>
    <col min="14079" max="14079" width="12.453125" style="179" bestFit="1" customWidth="1"/>
    <col min="14080" max="14080" width="11" style="179"/>
    <col min="14081" max="14081" width="36.81640625" style="179" customWidth="1"/>
    <col min="14082" max="14082" width="11.26953125" style="179" customWidth="1"/>
    <col min="14083" max="14083" width="31.26953125" style="179" customWidth="1"/>
    <col min="14084" max="14084" width="9.81640625" style="179" customWidth="1"/>
    <col min="14085" max="14085" width="11.7265625" style="179" customWidth="1"/>
    <col min="14086" max="14086" width="16.54296875" style="179" customWidth="1"/>
    <col min="14087" max="14087" width="14.7265625" style="179" customWidth="1"/>
    <col min="14088" max="14088" width="14.54296875" style="179" bestFit="1" customWidth="1"/>
    <col min="14089" max="14089" width="0" style="179" hidden="1" customWidth="1"/>
    <col min="14090" max="14090" width="15.54296875" style="179" customWidth="1"/>
    <col min="14091" max="14091" width="13.81640625" style="179" bestFit="1" customWidth="1"/>
    <col min="14092" max="14092" width="0.81640625" style="179" customWidth="1"/>
    <col min="14093" max="14093" width="13.7265625" style="179" customWidth="1"/>
    <col min="14094" max="14094" width="14.26953125" style="179" customWidth="1"/>
    <col min="14095" max="14095" width="23.453125" style="179" customWidth="1"/>
    <col min="14096" max="14096" width="19.1796875" style="179" customWidth="1"/>
    <col min="14097" max="14097" width="15.81640625" style="179" customWidth="1"/>
    <col min="14098" max="14099" width="20.1796875" style="179" customWidth="1"/>
    <col min="14100" max="14100" width="17.26953125" style="179" customWidth="1"/>
    <col min="14101" max="14104" width="12.26953125" style="179" customWidth="1"/>
    <col min="14105" max="14105" width="11.26953125" style="179" customWidth="1"/>
    <col min="14106" max="14329" width="10.7265625" style="179" customWidth="1"/>
    <col min="14330" max="14330" width="14.26953125" style="179" bestFit="1" customWidth="1"/>
    <col min="14331" max="14332" width="10.7265625" style="179" customWidth="1"/>
    <col min="14333" max="14333" width="19.7265625" style="179" bestFit="1" customWidth="1"/>
    <col min="14334" max="14334" width="26.7265625" style="179" bestFit="1" customWidth="1"/>
    <col min="14335" max="14335" width="12.453125" style="179" bestFit="1" customWidth="1"/>
    <col min="14336" max="14336" width="11" style="179"/>
    <col min="14337" max="14337" width="36.81640625" style="179" customWidth="1"/>
    <col min="14338" max="14338" width="11.26953125" style="179" customWidth="1"/>
    <col min="14339" max="14339" width="31.26953125" style="179" customWidth="1"/>
    <col min="14340" max="14340" width="9.81640625" style="179" customWidth="1"/>
    <col min="14341" max="14341" width="11.7265625" style="179" customWidth="1"/>
    <col min="14342" max="14342" width="16.54296875" style="179" customWidth="1"/>
    <col min="14343" max="14343" width="14.7265625" style="179" customWidth="1"/>
    <col min="14344" max="14344" width="14.54296875" style="179" bestFit="1" customWidth="1"/>
    <col min="14345" max="14345" width="0" style="179" hidden="1" customWidth="1"/>
    <col min="14346" max="14346" width="15.54296875" style="179" customWidth="1"/>
    <col min="14347" max="14347" width="13.81640625" style="179" bestFit="1" customWidth="1"/>
    <col min="14348" max="14348" width="0.81640625" style="179" customWidth="1"/>
    <col min="14349" max="14349" width="13.7265625" style="179" customWidth="1"/>
    <col min="14350" max="14350" width="14.26953125" style="179" customWidth="1"/>
    <col min="14351" max="14351" width="23.453125" style="179" customWidth="1"/>
    <col min="14352" max="14352" width="19.1796875" style="179" customWidth="1"/>
    <col min="14353" max="14353" width="15.81640625" style="179" customWidth="1"/>
    <col min="14354" max="14355" width="20.1796875" style="179" customWidth="1"/>
    <col min="14356" max="14356" width="17.26953125" style="179" customWidth="1"/>
    <col min="14357" max="14360" width="12.26953125" style="179" customWidth="1"/>
    <col min="14361" max="14361" width="11.26953125" style="179" customWidth="1"/>
    <col min="14362" max="14585" width="10.7265625" style="179" customWidth="1"/>
    <col min="14586" max="14586" width="14.26953125" style="179" bestFit="1" customWidth="1"/>
    <col min="14587" max="14588" width="10.7265625" style="179" customWidth="1"/>
    <col min="14589" max="14589" width="19.7265625" style="179" bestFit="1" customWidth="1"/>
    <col min="14590" max="14590" width="26.7265625" style="179" bestFit="1" customWidth="1"/>
    <col min="14591" max="14591" width="12.453125" style="179" bestFit="1" customWidth="1"/>
    <col min="14592" max="14592" width="11" style="179"/>
    <col min="14593" max="14593" width="36.81640625" style="179" customWidth="1"/>
    <col min="14594" max="14594" width="11.26953125" style="179" customWidth="1"/>
    <col min="14595" max="14595" width="31.26953125" style="179" customWidth="1"/>
    <col min="14596" max="14596" width="9.81640625" style="179" customWidth="1"/>
    <col min="14597" max="14597" width="11.7265625" style="179" customWidth="1"/>
    <col min="14598" max="14598" width="16.54296875" style="179" customWidth="1"/>
    <col min="14599" max="14599" width="14.7265625" style="179" customWidth="1"/>
    <col min="14600" max="14600" width="14.54296875" style="179" bestFit="1" customWidth="1"/>
    <col min="14601" max="14601" width="0" style="179" hidden="1" customWidth="1"/>
    <col min="14602" max="14602" width="15.54296875" style="179" customWidth="1"/>
    <col min="14603" max="14603" width="13.81640625" style="179" bestFit="1" customWidth="1"/>
    <col min="14604" max="14604" width="0.81640625" style="179" customWidth="1"/>
    <col min="14605" max="14605" width="13.7265625" style="179" customWidth="1"/>
    <col min="14606" max="14606" width="14.26953125" style="179" customWidth="1"/>
    <col min="14607" max="14607" width="23.453125" style="179" customWidth="1"/>
    <col min="14608" max="14608" width="19.1796875" style="179" customWidth="1"/>
    <col min="14609" max="14609" width="15.81640625" style="179" customWidth="1"/>
    <col min="14610" max="14611" width="20.1796875" style="179" customWidth="1"/>
    <col min="14612" max="14612" width="17.26953125" style="179" customWidth="1"/>
    <col min="14613" max="14616" width="12.26953125" style="179" customWidth="1"/>
    <col min="14617" max="14617" width="11.26953125" style="179" customWidth="1"/>
    <col min="14618" max="14841" width="10.7265625" style="179" customWidth="1"/>
    <col min="14842" max="14842" width="14.26953125" style="179" bestFit="1" customWidth="1"/>
    <col min="14843" max="14844" width="10.7265625" style="179" customWidth="1"/>
    <col min="14845" max="14845" width="19.7265625" style="179" bestFit="1" customWidth="1"/>
    <col min="14846" max="14846" width="26.7265625" style="179" bestFit="1" customWidth="1"/>
    <col min="14847" max="14847" width="12.453125" style="179" bestFit="1" customWidth="1"/>
    <col min="14848" max="14848" width="11" style="179"/>
    <col min="14849" max="14849" width="36.81640625" style="179" customWidth="1"/>
    <col min="14850" max="14850" width="11.26953125" style="179" customWidth="1"/>
    <col min="14851" max="14851" width="31.26953125" style="179" customWidth="1"/>
    <col min="14852" max="14852" width="9.81640625" style="179" customWidth="1"/>
    <col min="14853" max="14853" width="11.7265625" style="179" customWidth="1"/>
    <col min="14854" max="14854" width="16.54296875" style="179" customWidth="1"/>
    <col min="14855" max="14855" width="14.7265625" style="179" customWidth="1"/>
    <col min="14856" max="14856" width="14.54296875" style="179" bestFit="1" customWidth="1"/>
    <col min="14857" max="14857" width="0" style="179" hidden="1" customWidth="1"/>
    <col min="14858" max="14858" width="15.54296875" style="179" customWidth="1"/>
    <col min="14859" max="14859" width="13.81640625" style="179" bestFit="1" customWidth="1"/>
    <col min="14860" max="14860" width="0.81640625" style="179" customWidth="1"/>
    <col min="14861" max="14861" width="13.7265625" style="179" customWidth="1"/>
    <col min="14862" max="14862" width="14.26953125" style="179" customWidth="1"/>
    <col min="14863" max="14863" width="23.453125" style="179" customWidth="1"/>
    <col min="14864" max="14864" width="19.1796875" style="179" customWidth="1"/>
    <col min="14865" max="14865" width="15.81640625" style="179" customWidth="1"/>
    <col min="14866" max="14867" width="20.1796875" style="179" customWidth="1"/>
    <col min="14868" max="14868" width="17.26953125" style="179" customWidth="1"/>
    <col min="14869" max="14872" width="12.26953125" style="179" customWidth="1"/>
    <col min="14873" max="14873" width="11.26953125" style="179" customWidth="1"/>
    <col min="14874" max="15097" width="10.7265625" style="179" customWidth="1"/>
    <col min="15098" max="15098" width="14.26953125" style="179" bestFit="1" customWidth="1"/>
    <col min="15099" max="15100" width="10.7265625" style="179" customWidth="1"/>
    <col min="15101" max="15101" width="19.7265625" style="179" bestFit="1" customWidth="1"/>
    <col min="15102" max="15102" width="26.7265625" style="179" bestFit="1" customWidth="1"/>
    <col min="15103" max="15103" width="12.453125" style="179" bestFit="1" customWidth="1"/>
    <col min="15104" max="15104" width="11" style="179"/>
    <col min="15105" max="15105" width="36.81640625" style="179" customWidth="1"/>
    <col min="15106" max="15106" width="11.26953125" style="179" customWidth="1"/>
    <col min="15107" max="15107" width="31.26953125" style="179" customWidth="1"/>
    <col min="15108" max="15108" width="9.81640625" style="179" customWidth="1"/>
    <col min="15109" max="15109" width="11.7265625" style="179" customWidth="1"/>
    <col min="15110" max="15110" width="16.54296875" style="179" customWidth="1"/>
    <col min="15111" max="15111" width="14.7265625" style="179" customWidth="1"/>
    <col min="15112" max="15112" width="14.54296875" style="179" bestFit="1" customWidth="1"/>
    <col min="15113" max="15113" width="0" style="179" hidden="1" customWidth="1"/>
    <col min="15114" max="15114" width="15.54296875" style="179" customWidth="1"/>
    <col min="15115" max="15115" width="13.81640625" style="179" bestFit="1" customWidth="1"/>
    <col min="15116" max="15116" width="0.81640625" style="179" customWidth="1"/>
    <col min="15117" max="15117" width="13.7265625" style="179" customWidth="1"/>
    <col min="15118" max="15118" width="14.26953125" style="179" customWidth="1"/>
    <col min="15119" max="15119" width="23.453125" style="179" customWidth="1"/>
    <col min="15120" max="15120" width="19.1796875" style="179" customWidth="1"/>
    <col min="15121" max="15121" width="15.81640625" style="179" customWidth="1"/>
    <col min="15122" max="15123" width="20.1796875" style="179" customWidth="1"/>
    <col min="15124" max="15124" width="17.26953125" style="179" customWidth="1"/>
    <col min="15125" max="15128" width="12.26953125" style="179" customWidth="1"/>
    <col min="15129" max="15129" width="11.26953125" style="179" customWidth="1"/>
    <col min="15130" max="15353" width="10.7265625" style="179" customWidth="1"/>
    <col min="15354" max="15354" width="14.26953125" style="179" bestFit="1" customWidth="1"/>
    <col min="15355" max="15356" width="10.7265625" style="179" customWidth="1"/>
    <col min="15357" max="15357" width="19.7265625" style="179" bestFit="1" customWidth="1"/>
    <col min="15358" max="15358" width="26.7265625" style="179" bestFit="1" customWidth="1"/>
    <col min="15359" max="15359" width="12.453125" style="179" bestFit="1" customWidth="1"/>
    <col min="15360" max="15360" width="11" style="179"/>
    <col min="15361" max="15361" width="36.81640625" style="179" customWidth="1"/>
    <col min="15362" max="15362" width="11.26953125" style="179" customWidth="1"/>
    <col min="15363" max="15363" width="31.26953125" style="179" customWidth="1"/>
    <col min="15364" max="15364" width="9.81640625" style="179" customWidth="1"/>
    <col min="15365" max="15365" width="11.7265625" style="179" customWidth="1"/>
    <col min="15366" max="15366" width="16.54296875" style="179" customWidth="1"/>
    <col min="15367" max="15367" width="14.7265625" style="179" customWidth="1"/>
    <col min="15368" max="15368" width="14.54296875" style="179" bestFit="1" customWidth="1"/>
    <col min="15369" max="15369" width="0" style="179" hidden="1" customWidth="1"/>
    <col min="15370" max="15370" width="15.54296875" style="179" customWidth="1"/>
    <col min="15371" max="15371" width="13.81640625" style="179" bestFit="1" customWidth="1"/>
    <col min="15372" max="15372" width="0.81640625" style="179" customWidth="1"/>
    <col min="15373" max="15373" width="13.7265625" style="179" customWidth="1"/>
    <col min="15374" max="15374" width="14.26953125" style="179" customWidth="1"/>
    <col min="15375" max="15375" width="23.453125" style="179" customWidth="1"/>
    <col min="15376" max="15376" width="19.1796875" style="179" customWidth="1"/>
    <col min="15377" max="15377" width="15.81640625" style="179" customWidth="1"/>
    <col min="15378" max="15379" width="20.1796875" style="179" customWidth="1"/>
    <col min="15380" max="15380" width="17.26953125" style="179" customWidth="1"/>
    <col min="15381" max="15384" width="12.26953125" style="179" customWidth="1"/>
    <col min="15385" max="15385" width="11.26953125" style="179" customWidth="1"/>
    <col min="15386" max="15609" width="10.7265625" style="179" customWidth="1"/>
    <col min="15610" max="15610" width="14.26953125" style="179" bestFit="1" customWidth="1"/>
    <col min="15611" max="15612" width="10.7265625" style="179" customWidth="1"/>
    <col min="15613" max="15613" width="19.7265625" style="179" bestFit="1" customWidth="1"/>
    <col min="15614" max="15614" width="26.7265625" style="179" bestFit="1" customWidth="1"/>
    <col min="15615" max="15615" width="12.453125" style="179" bestFit="1" customWidth="1"/>
    <col min="15616" max="15616" width="11" style="179"/>
    <col min="15617" max="15617" width="36.81640625" style="179" customWidth="1"/>
    <col min="15618" max="15618" width="11.26953125" style="179" customWidth="1"/>
    <col min="15619" max="15619" width="31.26953125" style="179" customWidth="1"/>
    <col min="15620" max="15620" width="9.81640625" style="179" customWidth="1"/>
    <col min="15621" max="15621" width="11.7265625" style="179" customWidth="1"/>
    <col min="15622" max="15622" width="16.54296875" style="179" customWidth="1"/>
    <col min="15623" max="15623" width="14.7265625" style="179" customWidth="1"/>
    <col min="15624" max="15624" width="14.54296875" style="179" bestFit="1" customWidth="1"/>
    <col min="15625" max="15625" width="0" style="179" hidden="1" customWidth="1"/>
    <col min="15626" max="15626" width="15.54296875" style="179" customWidth="1"/>
    <col min="15627" max="15627" width="13.81640625" style="179" bestFit="1" customWidth="1"/>
    <col min="15628" max="15628" width="0.81640625" style="179" customWidth="1"/>
    <col min="15629" max="15629" width="13.7265625" style="179" customWidth="1"/>
    <col min="15630" max="15630" width="14.26953125" style="179" customWidth="1"/>
    <col min="15631" max="15631" width="23.453125" style="179" customWidth="1"/>
    <col min="15632" max="15632" width="19.1796875" style="179" customWidth="1"/>
    <col min="15633" max="15633" width="15.81640625" style="179" customWidth="1"/>
    <col min="15634" max="15635" width="20.1796875" style="179" customWidth="1"/>
    <col min="15636" max="15636" width="17.26953125" style="179" customWidth="1"/>
    <col min="15637" max="15640" width="12.26953125" style="179" customWidth="1"/>
    <col min="15641" max="15641" width="11.26953125" style="179" customWidth="1"/>
    <col min="15642" max="15865" width="10.7265625" style="179" customWidth="1"/>
    <col min="15866" max="15866" width="14.26953125" style="179" bestFit="1" customWidth="1"/>
    <col min="15867" max="15868" width="10.7265625" style="179" customWidth="1"/>
    <col min="15869" max="15869" width="19.7265625" style="179" bestFit="1" customWidth="1"/>
    <col min="15870" max="15870" width="26.7265625" style="179" bestFit="1" customWidth="1"/>
    <col min="15871" max="15871" width="12.453125" style="179" bestFit="1" customWidth="1"/>
    <col min="15872" max="15872" width="11" style="179"/>
    <col min="15873" max="15873" width="36.81640625" style="179" customWidth="1"/>
    <col min="15874" max="15874" width="11.26953125" style="179" customWidth="1"/>
    <col min="15875" max="15875" width="31.26953125" style="179" customWidth="1"/>
    <col min="15876" max="15876" width="9.81640625" style="179" customWidth="1"/>
    <col min="15877" max="15877" width="11.7265625" style="179" customWidth="1"/>
    <col min="15878" max="15878" width="16.54296875" style="179" customWidth="1"/>
    <col min="15879" max="15879" width="14.7265625" style="179" customWidth="1"/>
    <col min="15880" max="15880" width="14.54296875" style="179" bestFit="1" customWidth="1"/>
    <col min="15881" max="15881" width="0" style="179" hidden="1" customWidth="1"/>
    <col min="15882" max="15882" width="15.54296875" style="179" customWidth="1"/>
    <col min="15883" max="15883" width="13.81640625" style="179" bestFit="1" customWidth="1"/>
    <col min="15884" max="15884" width="0.81640625" style="179" customWidth="1"/>
    <col min="15885" max="15885" width="13.7265625" style="179" customWidth="1"/>
    <col min="15886" max="15886" width="14.26953125" style="179" customWidth="1"/>
    <col min="15887" max="15887" width="23.453125" style="179" customWidth="1"/>
    <col min="15888" max="15888" width="19.1796875" style="179" customWidth="1"/>
    <col min="15889" max="15889" width="15.81640625" style="179" customWidth="1"/>
    <col min="15890" max="15891" width="20.1796875" style="179" customWidth="1"/>
    <col min="15892" max="15892" width="17.26953125" style="179" customWidth="1"/>
    <col min="15893" max="15896" width="12.26953125" style="179" customWidth="1"/>
    <col min="15897" max="15897" width="11.26953125" style="179" customWidth="1"/>
    <col min="15898" max="16121" width="10.7265625" style="179" customWidth="1"/>
    <col min="16122" max="16122" width="14.26953125" style="179" bestFit="1" customWidth="1"/>
    <col min="16123" max="16124" width="10.7265625" style="179" customWidth="1"/>
    <col min="16125" max="16125" width="19.7265625" style="179" bestFit="1" customWidth="1"/>
    <col min="16126" max="16126" width="26.7265625" style="179" bestFit="1" customWidth="1"/>
    <col min="16127" max="16127" width="12.453125" style="179" bestFit="1" customWidth="1"/>
    <col min="16128" max="16128" width="11" style="179"/>
    <col min="16129" max="16129" width="36.81640625" style="179" customWidth="1"/>
    <col min="16130" max="16130" width="11.26953125" style="179" customWidth="1"/>
    <col min="16131" max="16131" width="31.26953125" style="179" customWidth="1"/>
    <col min="16132" max="16132" width="9.81640625" style="179" customWidth="1"/>
    <col min="16133" max="16133" width="11.7265625" style="179" customWidth="1"/>
    <col min="16134" max="16134" width="16.54296875" style="179" customWidth="1"/>
    <col min="16135" max="16135" width="14.7265625" style="179" customWidth="1"/>
    <col min="16136" max="16136" width="14.54296875" style="179" bestFit="1" customWidth="1"/>
    <col min="16137" max="16137" width="0" style="179" hidden="1" customWidth="1"/>
    <col min="16138" max="16138" width="15.54296875" style="179" customWidth="1"/>
    <col min="16139" max="16139" width="13.81640625" style="179" bestFit="1" customWidth="1"/>
    <col min="16140" max="16140" width="0.81640625" style="179" customWidth="1"/>
    <col min="16141" max="16141" width="13.7265625" style="179" customWidth="1"/>
    <col min="16142" max="16142" width="14.26953125" style="179" customWidth="1"/>
    <col min="16143" max="16143" width="23.453125" style="179" customWidth="1"/>
    <col min="16144" max="16144" width="19.1796875" style="179" customWidth="1"/>
    <col min="16145" max="16145" width="15.81640625" style="179" customWidth="1"/>
    <col min="16146" max="16147" width="20.1796875" style="179" customWidth="1"/>
    <col min="16148" max="16148" width="17.26953125" style="179" customWidth="1"/>
    <col min="16149" max="16152" width="12.26953125" style="179" customWidth="1"/>
    <col min="16153" max="16153" width="11.26953125" style="179" customWidth="1"/>
    <col min="16154" max="16377" width="10.7265625" style="179" customWidth="1"/>
    <col min="16378" max="16378" width="14.26953125" style="179" bestFit="1" customWidth="1"/>
    <col min="16379" max="16380" width="10.7265625" style="179" customWidth="1"/>
    <col min="16381" max="16381" width="19.7265625" style="179" bestFit="1" customWidth="1"/>
    <col min="16382" max="16382" width="26.7265625" style="179" bestFit="1" customWidth="1"/>
    <col min="16383" max="16383" width="12.453125" style="179" bestFit="1" customWidth="1"/>
    <col min="16384" max="16384" width="11" style="179"/>
  </cols>
  <sheetData>
    <row r="1" spans="1:19" s="159" customFormat="1" ht="15" customHeight="1">
      <c r="A1" s="154" t="s">
        <v>317</v>
      </c>
      <c r="B1" s="155">
        <v>0</v>
      </c>
      <c r="C1" s="156"/>
      <c r="D1" s="157"/>
      <c r="E1" s="158"/>
      <c r="F1" s="158"/>
      <c r="G1" s="158"/>
      <c r="H1" s="158"/>
      <c r="I1" s="158"/>
      <c r="J1" s="158"/>
      <c r="K1" s="157"/>
      <c r="L1" s="157"/>
      <c r="M1" s="157"/>
      <c r="N1" s="157"/>
      <c r="O1" s="158">
        <f>SUM(O2:O21)</f>
        <v>7657873.2025492471</v>
      </c>
      <c r="Q1" s="160"/>
      <c r="R1" s="161"/>
      <c r="S1" s="161"/>
    </row>
    <row r="2" spans="1:19">
      <c r="A2" s="162"/>
      <c r="B2" s="163">
        <f>25*6</f>
        <v>150</v>
      </c>
      <c r="C2" s="164" t="s">
        <v>318</v>
      </c>
      <c r="D2" s="165"/>
      <c r="E2" s="166"/>
      <c r="F2" s="166"/>
      <c r="G2" s="167"/>
      <c r="H2" s="167"/>
      <c r="I2" s="167"/>
      <c r="J2" s="168">
        <f t="shared" ref="J2:J21" si="0">VLOOKUP(C2,$A$26:$B$46,2,0)</f>
        <v>9717.1040812919036</v>
      </c>
      <c r="K2" s="169"/>
      <c r="L2" s="169"/>
      <c r="M2" s="169"/>
      <c r="N2" s="169"/>
      <c r="O2" s="167">
        <f t="shared" ref="O2:O21" si="1">+J2*B2</f>
        <v>1457565.6121937856</v>
      </c>
    </row>
    <row r="3" spans="1:19">
      <c r="B3" s="163">
        <v>4</v>
      </c>
      <c r="C3" s="172" t="s">
        <v>319</v>
      </c>
      <c r="D3" s="173"/>
      <c r="E3" s="174"/>
      <c r="F3" s="174"/>
      <c r="G3" s="174"/>
      <c r="H3" s="174"/>
      <c r="I3" s="174"/>
      <c r="J3" s="175">
        <f t="shared" si="0"/>
        <v>124178.11699343623</v>
      </c>
      <c r="K3" s="176"/>
      <c r="L3" s="176"/>
      <c r="M3" s="176"/>
      <c r="N3" s="176"/>
      <c r="O3" s="174">
        <f t="shared" si="1"/>
        <v>496712.4679737449</v>
      </c>
    </row>
    <row r="4" spans="1:19">
      <c r="B4" s="163">
        <v>4</v>
      </c>
      <c r="C4" s="172" t="s">
        <v>320</v>
      </c>
      <c r="D4" s="173"/>
      <c r="E4" s="174"/>
      <c r="F4" s="174"/>
      <c r="G4" s="174"/>
      <c r="H4" s="174"/>
      <c r="I4" s="174"/>
      <c r="J4" s="175">
        <f t="shared" si="0"/>
        <v>105280.88733042419</v>
      </c>
      <c r="K4" s="176"/>
      <c r="L4" s="176"/>
      <c r="M4" s="176"/>
      <c r="N4" s="176"/>
      <c r="O4" s="174">
        <f t="shared" si="1"/>
        <v>421123.54932169674</v>
      </c>
    </row>
    <row r="5" spans="1:19">
      <c r="B5" s="163">
        <v>4</v>
      </c>
      <c r="C5" s="172" t="s">
        <v>321</v>
      </c>
      <c r="D5" s="173"/>
      <c r="E5" s="174"/>
      <c r="F5" s="174"/>
      <c r="G5" s="174"/>
      <c r="H5" s="174"/>
      <c r="I5" s="174"/>
      <c r="J5" s="175">
        <f t="shared" si="0"/>
        <v>224061.6348161785</v>
      </c>
      <c r="K5" s="176"/>
      <c r="L5" s="176"/>
      <c r="M5" s="176"/>
      <c r="N5" s="176"/>
      <c r="O5" s="174">
        <f t="shared" si="1"/>
        <v>896246.539264714</v>
      </c>
    </row>
    <row r="6" spans="1:19">
      <c r="B6" s="163">
        <v>4</v>
      </c>
      <c r="C6" s="172" t="s">
        <v>322</v>
      </c>
      <c r="D6" s="173"/>
      <c r="E6" s="174"/>
      <c r="F6" s="174"/>
      <c r="G6" s="174"/>
      <c r="H6" s="174"/>
      <c r="I6" s="174"/>
      <c r="J6" s="175">
        <f t="shared" si="0"/>
        <v>64788.662734291247</v>
      </c>
      <c r="K6" s="176"/>
      <c r="L6" s="176"/>
      <c r="M6" s="176"/>
      <c r="N6" s="176"/>
      <c r="O6" s="174">
        <f t="shared" si="1"/>
        <v>259154.65093716499</v>
      </c>
    </row>
    <row r="7" spans="1:19">
      <c r="B7" s="163">
        <v>4</v>
      </c>
      <c r="C7" s="172" t="s">
        <v>323</v>
      </c>
      <c r="D7" s="173"/>
      <c r="E7" s="174"/>
      <c r="F7" s="174"/>
      <c r="G7" s="174"/>
      <c r="H7" s="174"/>
      <c r="I7" s="174"/>
      <c r="J7" s="175">
        <f t="shared" si="0"/>
        <v>80986.288159730131</v>
      </c>
      <c r="K7" s="176"/>
      <c r="L7" s="176"/>
      <c r="M7" s="176"/>
      <c r="N7" s="176"/>
      <c r="O7" s="174">
        <f t="shared" si="1"/>
        <v>323945.15263892052</v>
      </c>
    </row>
    <row r="8" spans="1:19">
      <c r="B8" s="163">
        <v>3</v>
      </c>
      <c r="C8" s="172" t="s">
        <v>324</v>
      </c>
      <c r="D8" s="173">
        <v>3</v>
      </c>
      <c r="E8" s="174"/>
      <c r="F8" s="174"/>
      <c r="G8" s="174"/>
      <c r="H8" s="174"/>
      <c r="I8" s="174"/>
      <c r="J8" s="175">
        <f t="shared" si="0"/>
        <v>863851.28841383581</v>
      </c>
      <c r="K8" s="176"/>
      <c r="L8" s="176"/>
      <c r="M8" s="176"/>
      <c r="N8" s="176"/>
      <c r="O8" s="174">
        <f t="shared" si="1"/>
        <v>2591553.8652415075</v>
      </c>
    </row>
    <row r="9" spans="1:19" outlineLevel="1">
      <c r="B9" s="163">
        <v>0</v>
      </c>
      <c r="C9" s="172" t="s">
        <v>325</v>
      </c>
      <c r="D9" s="173"/>
      <c r="E9" s="174"/>
      <c r="F9" s="174"/>
      <c r="G9" s="174"/>
      <c r="H9" s="174"/>
      <c r="I9" s="174"/>
      <c r="J9" s="175">
        <f t="shared" si="0"/>
        <v>243472.40591261195</v>
      </c>
      <c r="K9" s="176"/>
      <c r="L9" s="176"/>
      <c r="M9" s="176"/>
      <c r="N9" s="176"/>
      <c r="O9" s="174">
        <f t="shared" si="1"/>
        <v>0</v>
      </c>
    </row>
    <row r="10" spans="1:19" outlineLevel="1">
      <c r="B10" s="163">
        <v>20</v>
      </c>
      <c r="C10" s="172" t="s">
        <v>326</v>
      </c>
      <c r="D10" s="173"/>
      <c r="E10" s="174"/>
      <c r="F10" s="174"/>
      <c r="G10" s="174"/>
      <c r="H10" s="174"/>
      <c r="I10" s="174"/>
      <c r="J10" s="175">
        <f t="shared" si="0"/>
        <v>60578.568248885633</v>
      </c>
      <c r="K10" s="176"/>
      <c r="L10" s="176"/>
      <c r="M10" s="176"/>
      <c r="N10" s="176"/>
      <c r="O10" s="174">
        <f t="shared" si="1"/>
        <v>1211571.3649777127</v>
      </c>
    </row>
    <row r="11" spans="1:19" outlineLevel="1">
      <c r="B11" s="163">
        <v>0</v>
      </c>
      <c r="C11" s="172" t="s">
        <v>327</v>
      </c>
      <c r="D11" s="173"/>
      <c r="E11" s="174"/>
      <c r="F11" s="174"/>
      <c r="G11" s="174"/>
      <c r="H11" s="174"/>
      <c r="I11" s="174"/>
      <c r="J11" s="175">
        <f t="shared" si="0"/>
        <v>140375.74241887516</v>
      </c>
      <c r="K11" s="176"/>
      <c r="L11" s="176"/>
      <c r="M11" s="176"/>
      <c r="N11" s="176"/>
      <c r="O11" s="174">
        <f t="shared" si="1"/>
        <v>0</v>
      </c>
    </row>
    <row r="12" spans="1:19" outlineLevel="1">
      <c r="B12" s="177">
        <v>0</v>
      </c>
      <c r="C12" s="172" t="s">
        <v>328</v>
      </c>
      <c r="D12" s="173"/>
      <c r="E12" s="174"/>
      <c r="F12" s="174"/>
      <c r="G12" s="174"/>
      <c r="H12" s="174"/>
      <c r="I12" s="174"/>
      <c r="J12" s="175">
        <f t="shared" si="0"/>
        <v>114301.02274275137</v>
      </c>
      <c r="K12" s="176"/>
      <c r="L12" s="176"/>
      <c r="M12" s="176"/>
      <c r="N12" s="176"/>
      <c r="O12" s="174">
        <f t="shared" si="1"/>
        <v>0</v>
      </c>
    </row>
    <row r="13" spans="1:19" outlineLevel="1">
      <c r="B13" s="177">
        <v>0</v>
      </c>
      <c r="C13" s="172" t="s">
        <v>329</v>
      </c>
      <c r="D13" s="173"/>
      <c r="E13" s="174"/>
      <c r="F13" s="174"/>
      <c r="G13" s="174"/>
      <c r="H13" s="174"/>
      <c r="I13" s="174"/>
      <c r="J13" s="175">
        <f t="shared" si="0"/>
        <v>26749.620735517034</v>
      </c>
      <c r="K13" s="176"/>
      <c r="L13" s="176"/>
      <c r="M13" s="176"/>
      <c r="N13" s="176"/>
      <c r="O13" s="174">
        <f t="shared" si="1"/>
        <v>0</v>
      </c>
    </row>
    <row r="14" spans="1:19" outlineLevel="1">
      <c r="B14" s="177">
        <v>0</v>
      </c>
      <c r="C14" s="172" t="s">
        <v>330</v>
      </c>
      <c r="D14" s="173"/>
      <c r="E14" s="174"/>
      <c r="F14" s="174"/>
      <c r="G14" s="174"/>
      <c r="H14" s="174"/>
      <c r="I14" s="174"/>
      <c r="J14" s="175">
        <f t="shared" si="0"/>
        <v>350939.35604718782</v>
      </c>
      <c r="K14" s="176"/>
      <c r="L14" s="176"/>
      <c r="M14" s="176"/>
      <c r="N14" s="176"/>
      <c r="O14" s="174">
        <f t="shared" si="1"/>
        <v>0</v>
      </c>
      <c r="Q14" s="178"/>
    </row>
    <row r="15" spans="1:19" outlineLevel="1">
      <c r="B15" s="177">
        <v>0</v>
      </c>
      <c r="C15" s="172" t="s">
        <v>331</v>
      </c>
      <c r="D15" s="173"/>
      <c r="E15" s="174"/>
      <c r="F15" s="174"/>
      <c r="G15" s="174"/>
      <c r="H15" s="174"/>
      <c r="I15" s="174"/>
      <c r="J15" s="175">
        <f t="shared" si="0"/>
        <v>1106085.0677435207</v>
      </c>
      <c r="K15" s="176"/>
      <c r="L15" s="176"/>
      <c r="M15" s="176"/>
      <c r="N15" s="176"/>
      <c r="O15" s="174">
        <f t="shared" si="1"/>
        <v>0</v>
      </c>
    </row>
    <row r="16" spans="1:19" outlineLevel="1">
      <c r="B16" s="177">
        <v>0</v>
      </c>
      <c r="C16" s="172" t="s">
        <v>327</v>
      </c>
      <c r="D16" s="173"/>
      <c r="E16" s="174"/>
      <c r="F16" s="174"/>
      <c r="G16" s="174"/>
      <c r="H16" s="174"/>
      <c r="I16" s="174"/>
      <c r="J16" s="175">
        <f t="shared" si="0"/>
        <v>140375.74241887516</v>
      </c>
      <c r="K16" s="176"/>
      <c r="L16" s="176"/>
      <c r="M16" s="176"/>
      <c r="N16" s="176"/>
      <c r="O16" s="174">
        <f t="shared" si="1"/>
        <v>0</v>
      </c>
    </row>
    <row r="17" spans="1:256" outlineLevel="1">
      <c r="B17" s="177">
        <v>0</v>
      </c>
      <c r="C17" s="172" t="s">
        <v>327</v>
      </c>
      <c r="D17" s="173"/>
      <c r="E17" s="174"/>
      <c r="F17" s="174"/>
      <c r="G17" s="174"/>
      <c r="H17" s="174"/>
      <c r="I17" s="174"/>
      <c r="J17" s="175">
        <f t="shared" si="0"/>
        <v>140375.74241887516</v>
      </c>
      <c r="K17" s="176"/>
      <c r="L17" s="176"/>
      <c r="M17" s="176"/>
      <c r="N17" s="176"/>
      <c r="O17" s="174">
        <f t="shared" si="1"/>
        <v>0</v>
      </c>
    </row>
    <row r="18" spans="1:256" outlineLevel="1">
      <c r="B18" s="177">
        <v>0</v>
      </c>
      <c r="C18" s="172" t="s">
        <v>332</v>
      </c>
      <c r="D18" s="173"/>
      <c r="E18" s="174"/>
      <c r="F18" s="174"/>
      <c r="G18" s="174"/>
      <c r="H18" s="174"/>
      <c r="I18" s="174"/>
      <c r="J18" s="175">
        <f t="shared" si="0"/>
        <v>632295.86118068849</v>
      </c>
      <c r="K18" s="176"/>
      <c r="L18" s="176"/>
      <c r="M18" s="176"/>
      <c r="N18" s="176"/>
      <c r="O18" s="174">
        <f t="shared" si="1"/>
        <v>0</v>
      </c>
    </row>
    <row r="19" spans="1:256" outlineLevel="1">
      <c r="B19" s="177">
        <v>0</v>
      </c>
      <c r="C19" s="172" t="s">
        <v>328</v>
      </c>
      <c r="D19" s="173"/>
      <c r="E19" s="174"/>
      <c r="F19" s="174"/>
      <c r="G19" s="174"/>
      <c r="H19" s="174"/>
      <c r="I19" s="174"/>
      <c r="J19" s="175">
        <f t="shared" si="0"/>
        <v>114301.02274275137</v>
      </c>
      <c r="K19" s="176"/>
      <c r="L19" s="176"/>
      <c r="M19" s="176"/>
      <c r="N19" s="176"/>
      <c r="O19" s="174">
        <f t="shared" si="1"/>
        <v>0</v>
      </c>
    </row>
    <row r="20" spans="1:256" outlineLevel="1">
      <c r="B20" s="177">
        <v>0</v>
      </c>
      <c r="C20" s="172" t="s">
        <v>329</v>
      </c>
      <c r="D20" s="173"/>
      <c r="E20" s="174"/>
      <c r="F20" s="174"/>
      <c r="G20" s="174"/>
      <c r="H20" s="174"/>
      <c r="I20" s="174"/>
      <c r="J20" s="175">
        <f t="shared" si="0"/>
        <v>26749.620735517034</v>
      </c>
      <c r="K20" s="176"/>
      <c r="L20" s="176"/>
      <c r="M20" s="176"/>
      <c r="N20" s="176"/>
      <c r="O20" s="174">
        <f t="shared" si="1"/>
        <v>0</v>
      </c>
    </row>
    <row r="21" spans="1:256" outlineLevel="1">
      <c r="B21" s="177">
        <v>0</v>
      </c>
      <c r="C21" s="172" t="s">
        <v>327</v>
      </c>
      <c r="D21" s="173"/>
      <c r="E21" s="174"/>
      <c r="F21" s="174"/>
      <c r="G21" s="174"/>
      <c r="H21" s="174"/>
      <c r="I21" s="174"/>
      <c r="J21" s="175">
        <f t="shared" si="0"/>
        <v>140375.74241887516</v>
      </c>
      <c r="K21" s="176"/>
      <c r="L21" s="176"/>
      <c r="M21" s="176"/>
      <c r="N21" s="176"/>
      <c r="O21" s="174">
        <f t="shared" si="1"/>
        <v>0</v>
      </c>
    </row>
    <row r="22" spans="1:256" outlineLevel="1">
      <c r="B22" s="180"/>
      <c r="C22" s="181"/>
      <c r="D22" s="182"/>
      <c r="E22" s="183"/>
      <c r="F22" s="184"/>
      <c r="G22" s="184"/>
      <c r="H22" s="184"/>
      <c r="I22" s="184"/>
      <c r="J22" s="185"/>
      <c r="K22" s="162"/>
      <c r="L22" s="162"/>
      <c r="M22" s="162"/>
      <c r="N22" s="162"/>
      <c r="O22" s="185"/>
    </row>
    <row r="23" spans="1:256">
      <c r="B23" s="186">
        <v>0</v>
      </c>
      <c r="D23" s="187"/>
      <c r="F23" s="185"/>
      <c r="J23" s="186" t="s">
        <v>333</v>
      </c>
    </row>
    <row r="24" spans="1:256">
      <c r="B24" s="188"/>
      <c r="C24" s="179"/>
      <c r="D24" s="179"/>
      <c r="H24" s="189"/>
      <c r="M24" s="190"/>
      <c r="N24" s="190"/>
      <c r="O24" s="190"/>
      <c r="P24" s="190"/>
      <c r="Q24" s="190"/>
    </row>
    <row r="25" spans="1:256">
      <c r="A25" s="191" t="s">
        <v>334</v>
      </c>
      <c r="B25" s="192"/>
      <c r="C25" s="193" t="s">
        <v>335</v>
      </c>
      <c r="D25" s="179"/>
      <c r="E25" s="194" t="s">
        <v>336</v>
      </c>
      <c r="F25" s="195" t="s">
        <v>337</v>
      </c>
      <c r="H25" s="194" t="s">
        <v>338</v>
      </c>
      <c r="J25" s="196" t="s">
        <v>339</v>
      </c>
      <c r="K25" s="196" t="s">
        <v>340</v>
      </c>
      <c r="M25" s="197" t="s">
        <v>341</v>
      </c>
      <c r="N25" s="197" t="s">
        <v>342</v>
      </c>
      <c r="O25" s="197" t="s">
        <v>343</v>
      </c>
      <c r="P25" s="197" t="s">
        <v>344</v>
      </c>
      <c r="Q25" s="197" t="s">
        <v>345</v>
      </c>
      <c r="R25" s="197" t="s">
        <v>346</v>
      </c>
      <c r="S25" s="197" t="s">
        <v>347</v>
      </c>
      <c r="T25" s="197" t="s">
        <v>348</v>
      </c>
      <c r="U25" s="197" t="s">
        <v>349</v>
      </c>
      <c r="V25" s="197" t="s">
        <v>350</v>
      </c>
      <c r="W25" s="197" t="s">
        <v>351</v>
      </c>
      <c r="X25" s="197" t="s">
        <v>352</v>
      </c>
      <c r="IU25" s="170"/>
      <c r="IV25" s="170"/>
    </row>
    <row r="26" spans="1:256">
      <c r="A26" s="198" t="s">
        <v>321</v>
      </c>
      <c r="B26" s="188">
        <f>+X26</f>
        <v>224061.6348161785</v>
      </c>
      <c r="D26" s="179"/>
      <c r="E26" s="199">
        <v>96280</v>
      </c>
      <c r="F26" s="179">
        <f>ROUND(E26*1.138,0)</f>
        <v>109567</v>
      </c>
      <c r="G26" s="179">
        <v>113555.23879999999</v>
      </c>
      <c r="H26" s="199">
        <v>117155</v>
      </c>
      <c r="J26" s="179">
        <v>121841</v>
      </c>
      <c r="K26" s="179">
        <v>125496.23000000001</v>
      </c>
      <c r="M26" s="200">
        <f>+K26*1.026</f>
        <v>128759.13198000002</v>
      </c>
      <c r="N26" s="200">
        <f>+M26*1.026</f>
        <v>132106.86941148003</v>
      </c>
      <c r="O26" s="200">
        <f>+N26*1.026</f>
        <v>135541.64801617851</v>
      </c>
      <c r="P26" s="200">
        <f>+O26*1.05</f>
        <v>142318.73041698744</v>
      </c>
      <c r="Q26" s="200">
        <f>+P26*1.05</f>
        <v>149434.66693783682</v>
      </c>
      <c r="R26" s="200">
        <f t="shared" ref="R26:R43" si="2">+Q26*1.035</f>
        <v>154664.88028066111</v>
      </c>
      <c r="S26" s="200">
        <f t="shared" ref="S26:S45" si="3">+R26*1.038</f>
        <v>160542.14573132622</v>
      </c>
      <c r="T26" s="200">
        <f t="shared" ref="T26:T45" si="4">+S26*1.0161</f>
        <v>163126.87427760058</v>
      </c>
      <c r="U26" s="200">
        <f t="shared" ref="U26:U45" si="5">+T26*1.0562</f>
        <v>172294.60461200174</v>
      </c>
      <c r="V26" s="200">
        <f>+U26*1.1312</f>
        <v>194899.65673709637</v>
      </c>
      <c r="W26" s="200">
        <f t="shared" ref="W26:W45" si="6">+V26*1.0928</f>
        <v>212986.34488229893</v>
      </c>
      <c r="X26" s="200">
        <f t="shared" ref="X26:X45" si="7">+W26*1.052</f>
        <v>224061.6348161785</v>
      </c>
      <c r="IU26" s="170"/>
      <c r="IV26" s="170"/>
    </row>
    <row r="27" spans="1:256">
      <c r="A27" s="198" t="s">
        <v>327</v>
      </c>
      <c r="B27" s="188">
        <f t="shared" ref="B27:B45" si="8">+X27</f>
        <v>140375.74241887516</v>
      </c>
      <c r="C27" s="179"/>
      <c r="D27" s="179"/>
      <c r="E27" s="199">
        <v>60320</v>
      </c>
      <c r="F27" s="179">
        <f t="shared" ref="F27:F45" si="9">ROUND(E27*1.138,0)</f>
        <v>68644</v>
      </c>
      <c r="G27" s="179">
        <v>71142.641600000003</v>
      </c>
      <c r="H27" s="199">
        <v>73398</v>
      </c>
      <c r="J27" s="179">
        <v>76334</v>
      </c>
      <c r="K27" s="179">
        <v>78624.02</v>
      </c>
      <c r="M27" s="200">
        <f t="shared" ref="M27:M45" si="10">+K27*1.026</f>
        <v>80668.244520000007</v>
      </c>
      <c r="N27" s="200">
        <f t="shared" ref="N27:O45" si="11">+M27*1.026</f>
        <v>82765.618877520013</v>
      </c>
      <c r="O27" s="200">
        <f t="shared" si="11"/>
        <v>84917.524968335536</v>
      </c>
      <c r="P27" s="200">
        <f t="shared" ref="P27:Q45" si="12">+O27*1.05</f>
        <v>89163.401216752318</v>
      </c>
      <c r="Q27" s="200">
        <f t="shared" si="12"/>
        <v>93621.571277589945</v>
      </c>
      <c r="R27" s="200">
        <f t="shared" si="2"/>
        <v>96898.326272305581</v>
      </c>
      <c r="S27" s="200">
        <f t="shared" si="3"/>
        <v>100580.4626706532</v>
      </c>
      <c r="T27" s="200">
        <f t="shared" si="4"/>
        <v>102199.80811965071</v>
      </c>
      <c r="U27" s="200">
        <f t="shared" si="5"/>
        <v>107943.43733597509</v>
      </c>
      <c r="V27" s="200">
        <f t="shared" ref="V27:V45" si="13">+U27*1.1312</f>
        <v>122105.61631445502</v>
      </c>
      <c r="W27" s="200">
        <f t="shared" si="6"/>
        <v>133437.01750843646</v>
      </c>
      <c r="X27" s="200">
        <f t="shared" si="7"/>
        <v>140375.74241887516</v>
      </c>
      <c r="IU27" s="170"/>
      <c r="IV27" s="170"/>
    </row>
    <row r="28" spans="1:256">
      <c r="A28" s="198" t="s">
        <v>318</v>
      </c>
      <c r="B28" s="188">
        <f t="shared" si="8"/>
        <v>9717.1040812919036</v>
      </c>
      <c r="C28" s="179"/>
      <c r="D28" s="179"/>
      <c r="E28" s="199">
        <v>4176</v>
      </c>
      <c r="F28" s="179">
        <f t="shared" si="9"/>
        <v>4752</v>
      </c>
      <c r="G28" s="179">
        <v>4924.9727999999996</v>
      </c>
      <c r="H28" s="199">
        <v>5081</v>
      </c>
      <c r="J28" s="179">
        <v>5284</v>
      </c>
      <c r="K28" s="179">
        <v>5442.52</v>
      </c>
      <c r="M28" s="200">
        <f t="shared" si="10"/>
        <v>5584.0255200000001</v>
      </c>
      <c r="N28" s="200">
        <f t="shared" si="11"/>
        <v>5729.2101835200001</v>
      </c>
      <c r="O28" s="200">
        <f t="shared" si="11"/>
        <v>5878.1696482915204</v>
      </c>
      <c r="P28" s="200">
        <f t="shared" si="12"/>
        <v>6172.078130706097</v>
      </c>
      <c r="Q28" s="200">
        <f t="shared" si="12"/>
        <v>6480.6820372414022</v>
      </c>
      <c r="R28" s="200">
        <f t="shared" si="2"/>
        <v>6707.5059085448511</v>
      </c>
      <c r="S28" s="200">
        <f t="shared" si="3"/>
        <v>6962.3911330695555</v>
      </c>
      <c r="T28" s="200">
        <f t="shared" si="4"/>
        <v>7074.485630311975</v>
      </c>
      <c r="U28" s="200">
        <f t="shared" si="5"/>
        <v>7472.071722735508</v>
      </c>
      <c r="V28" s="200">
        <f t="shared" si="13"/>
        <v>8452.4075327584069</v>
      </c>
      <c r="W28" s="200">
        <f t="shared" si="6"/>
        <v>9236.7909517983862</v>
      </c>
      <c r="X28" s="200">
        <f t="shared" si="7"/>
        <v>9717.1040812919036</v>
      </c>
      <c r="IU28" s="170"/>
      <c r="IV28" s="170"/>
    </row>
    <row r="29" spans="1:256">
      <c r="A29" s="198" t="s">
        <v>324</v>
      </c>
      <c r="B29" s="188">
        <f t="shared" si="8"/>
        <v>863851.28841383581</v>
      </c>
      <c r="C29" s="179"/>
      <c r="D29" s="179"/>
      <c r="E29" s="199">
        <v>371200</v>
      </c>
      <c r="F29" s="179">
        <f t="shared" si="9"/>
        <v>422426</v>
      </c>
      <c r="G29" s="179">
        <v>437802.3064</v>
      </c>
      <c r="H29" s="199">
        <v>451681</v>
      </c>
      <c r="J29" s="179">
        <v>469748</v>
      </c>
      <c r="K29" s="179">
        <v>483840.44</v>
      </c>
      <c r="M29" s="200">
        <f t="shared" si="10"/>
        <v>496420.29144</v>
      </c>
      <c r="N29" s="200">
        <f t="shared" si="11"/>
        <v>509327.21901743999</v>
      </c>
      <c r="O29" s="200">
        <f t="shared" si="11"/>
        <v>522569.72671189345</v>
      </c>
      <c r="P29" s="200">
        <f t="shared" si="12"/>
        <v>548698.21304748813</v>
      </c>
      <c r="Q29" s="200">
        <f t="shared" si="12"/>
        <v>576133.12369986251</v>
      </c>
      <c r="R29" s="200">
        <f t="shared" si="2"/>
        <v>596297.78302935767</v>
      </c>
      <c r="S29" s="200">
        <f t="shared" si="3"/>
        <v>618957.09878447326</v>
      </c>
      <c r="T29" s="200">
        <f t="shared" si="4"/>
        <v>628922.30807490333</v>
      </c>
      <c r="U29" s="200">
        <f t="shared" si="5"/>
        <v>664267.74178871291</v>
      </c>
      <c r="V29" s="200">
        <f t="shared" si="13"/>
        <v>751419.66951139201</v>
      </c>
      <c r="W29" s="200">
        <f t="shared" si="6"/>
        <v>821151.41484204924</v>
      </c>
      <c r="X29" s="200">
        <f t="shared" si="7"/>
        <v>863851.28841383581</v>
      </c>
      <c r="IU29" s="170"/>
      <c r="IV29" s="170"/>
    </row>
    <row r="30" spans="1:256">
      <c r="A30" s="198" t="s">
        <v>353</v>
      </c>
      <c r="B30" s="188">
        <f t="shared" si="8"/>
        <v>45891.433071279236</v>
      </c>
      <c r="C30" s="179"/>
      <c r="D30" s="179"/>
      <c r="E30" s="199">
        <v>19720</v>
      </c>
      <c r="F30" s="179">
        <f t="shared" si="9"/>
        <v>22441</v>
      </c>
      <c r="G30" s="179">
        <v>23257.8524</v>
      </c>
      <c r="H30" s="199">
        <v>23995</v>
      </c>
      <c r="J30" s="179">
        <v>24955</v>
      </c>
      <c r="K30" s="179">
        <v>25703.65</v>
      </c>
      <c r="M30" s="200">
        <f t="shared" si="10"/>
        <v>26371.944900000002</v>
      </c>
      <c r="N30" s="200">
        <f t="shared" si="11"/>
        <v>27057.615467400003</v>
      </c>
      <c r="O30" s="200">
        <f t="shared" si="11"/>
        <v>27761.113469552405</v>
      </c>
      <c r="P30" s="200">
        <f t="shared" si="12"/>
        <v>29149.169143030027</v>
      </c>
      <c r="Q30" s="200">
        <f t="shared" si="12"/>
        <v>30606.627600181531</v>
      </c>
      <c r="R30" s="200">
        <f t="shared" si="2"/>
        <v>31677.859566187883</v>
      </c>
      <c r="S30" s="200">
        <f t="shared" si="3"/>
        <v>32881.618229703025</v>
      </c>
      <c r="T30" s="200">
        <f t="shared" si="4"/>
        <v>33411.012283201242</v>
      </c>
      <c r="U30" s="200">
        <f t="shared" si="5"/>
        <v>35288.711173517149</v>
      </c>
      <c r="V30" s="200">
        <f t="shared" si="13"/>
        <v>39918.590079482601</v>
      </c>
      <c r="W30" s="200">
        <f t="shared" si="6"/>
        <v>43623.035238858589</v>
      </c>
      <c r="X30" s="200">
        <f t="shared" si="7"/>
        <v>45891.433071279236</v>
      </c>
      <c r="IU30" s="170"/>
      <c r="IV30" s="170"/>
    </row>
    <row r="31" spans="1:256">
      <c r="A31" s="198" t="s">
        <v>354</v>
      </c>
      <c r="B31" s="188">
        <f t="shared" si="8"/>
        <v>56691.688989036105</v>
      </c>
      <c r="C31" s="179"/>
      <c r="D31" s="179"/>
      <c r="E31" s="199">
        <v>24360</v>
      </c>
      <c r="F31" s="179">
        <f t="shared" si="9"/>
        <v>27722</v>
      </c>
      <c r="G31" s="179">
        <v>28731.0808</v>
      </c>
      <c r="H31" s="199">
        <v>29642</v>
      </c>
      <c r="J31" s="179">
        <v>30828</v>
      </c>
      <c r="K31" s="179">
        <v>31752.84</v>
      </c>
      <c r="M31" s="200">
        <f t="shared" si="10"/>
        <v>32578.413840000001</v>
      </c>
      <c r="N31" s="200">
        <f t="shared" si="11"/>
        <v>33425.452599839999</v>
      </c>
      <c r="O31" s="200">
        <f t="shared" si="11"/>
        <v>34294.514367435841</v>
      </c>
      <c r="P31" s="200">
        <f t="shared" si="12"/>
        <v>36009.240085807636</v>
      </c>
      <c r="Q31" s="200">
        <f t="shared" si="12"/>
        <v>37809.702090098021</v>
      </c>
      <c r="R31" s="200">
        <f t="shared" si="2"/>
        <v>39133.041663251446</v>
      </c>
      <c r="S31" s="200">
        <f t="shared" si="3"/>
        <v>40620.097246455</v>
      </c>
      <c r="T31" s="200">
        <f t="shared" si="4"/>
        <v>41274.080812122927</v>
      </c>
      <c r="U31" s="200">
        <f t="shared" si="5"/>
        <v>43593.684153764239</v>
      </c>
      <c r="V31" s="200">
        <f t="shared" si="13"/>
        <v>49313.175514738105</v>
      </c>
      <c r="W31" s="200">
        <f t="shared" si="6"/>
        <v>53889.4382025058</v>
      </c>
      <c r="X31" s="200">
        <f t="shared" si="7"/>
        <v>56691.688989036105</v>
      </c>
      <c r="IU31" s="170"/>
      <c r="IV31" s="170"/>
    </row>
    <row r="32" spans="1:256" s="170" customFormat="1" ht="15" customHeight="1">
      <c r="A32" s="198" t="s">
        <v>319</v>
      </c>
      <c r="B32" s="188">
        <f t="shared" si="8"/>
        <v>124178.11699343623</v>
      </c>
      <c r="C32" s="179"/>
      <c r="E32" s="199">
        <v>53360</v>
      </c>
      <c r="F32" s="179">
        <f t="shared" si="9"/>
        <v>60724</v>
      </c>
      <c r="G32" s="170">
        <v>62934.353600000002</v>
      </c>
      <c r="H32" s="199">
        <v>64929</v>
      </c>
      <c r="J32" s="179">
        <v>67526</v>
      </c>
      <c r="K32" s="201">
        <v>69551.78</v>
      </c>
      <c r="M32" s="200">
        <f t="shared" si="10"/>
        <v>71360.126279999997</v>
      </c>
      <c r="N32" s="200">
        <f t="shared" si="11"/>
        <v>73215.489563280003</v>
      </c>
      <c r="O32" s="200">
        <f t="shared" si="11"/>
        <v>75119.092291925292</v>
      </c>
      <c r="P32" s="200">
        <f t="shared" si="12"/>
        <v>78875.046906521558</v>
      </c>
      <c r="Q32" s="200">
        <f t="shared" si="12"/>
        <v>82818.799251847639</v>
      </c>
      <c r="R32" s="200">
        <f t="shared" si="2"/>
        <v>85717.457225662292</v>
      </c>
      <c r="S32" s="200">
        <f t="shared" si="3"/>
        <v>88974.720600237459</v>
      </c>
      <c r="T32" s="200">
        <f t="shared" si="4"/>
        <v>90407.213601901283</v>
      </c>
      <c r="U32" s="200">
        <f t="shared" si="5"/>
        <v>95488.099006328135</v>
      </c>
      <c r="V32" s="200">
        <f t="shared" si="13"/>
        <v>108016.13759595838</v>
      </c>
      <c r="W32" s="200">
        <f t="shared" si="6"/>
        <v>118040.03516486332</v>
      </c>
      <c r="X32" s="200">
        <f t="shared" si="7"/>
        <v>124178.11699343623</v>
      </c>
    </row>
    <row r="33" spans="1:256">
      <c r="A33" s="198" t="s">
        <v>323</v>
      </c>
      <c r="B33" s="188">
        <f t="shared" si="8"/>
        <v>80986.288159730131</v>
      </c>
      <c r="C33" s="179"/>
      <c r="D33" s="179"/>
      <c r="E33" s="199">
        <v>34800</v>
      </c>
      <c r="F33" s="179">
        <f t="shared" si="9"/>
        <v>39602</v>
      </c>
      <c r="G33" s="179">
        <v>41043.512799999997</v>
      </c>
      <c r="H33" s="199">
        <v>42345</v>
      </c>
      <c r="J33" s="179">
        <v>44039</v>
      </c>
      <c r="K33" s="179">
        <v>45360.17</v>
      </c>
      <c r="M33" s="200">
        <f t="shared" si="10"/>
        <v>46539.534419999996</v>
      </c>
      <c r="N33" s="200">
        <f t="shared" si="11"/>
        <v>47749.562314919996</v>
      </c>
      <c r="O33" s="200">
        <f t="shared" si="11"/>
        <v>48991.050935107916</v>
      </c>
      <c r="P33" s="200">
        <f t="shared" si="12"/>
        <v>51440.603481863312</v>
      </c>
      <c r="Q33" s="200">
        <f t="shared" si="12"/>
        <v>54012.633655956481</v>
      </c>
      <c r="R33" s="200">
        <f t="shared" si="2"/>
        <v>55903.075833914954</v>
      </c>
      <c r="S33" s="200">
        <f t="shared" si="3"/>
        <v>58027.392715603724</v>
      </c>
      <c r="T33" s="200">
        <f t="shared" si="4"/>
        <v>58961.633738324941</v>
      </c>
      <c r="U33" s="200">
        <f t="shared" si="5"/>
        <v>62275.277554418804</v>
      </c>
      <c r="V33" s="200">
        <f t="shared" si="13"/>
        <v>70445.793969558552</v>
      </c>
      <c r="W33" s="200">
        <f t="shared" si="6"/>
        <v>76983.163649933587</v>
      </c>
      <c r="X33" s="200">
        <f t="shared" si="7"/>
        <v>80986.288159730131</v>
      </c>
      <c r="IU33" s="170"/>
      <c r="IV33" s="170"/>
    </row>
    <row r="34" spans="1:256">
      <c r="A34" s="198" t="s">
        <v>320</v>
      </c>
      <c r="B34" s="188">
        <f t="shared" si="8"/>
        <v>105280.88733042419</v>
      </c>
      <c r="C34" s="179"/>
      <c r="D34" s="179"/>
      <c r="E34" s="199">
        <v>45240</v>
      </c>
      <c r="F34" s="179">
        <f t="shared" si="9"/>
        <v>51483</v>
      </c>
      <c r="G34" s="179">
        <v>53356.981200000002</v>
      </c>
      <c r="H34" s="199">
        <v>55048</v>
      </c>
      <c r="J34" s="179">
        <v>57250</v>
      </c>
      <c r="K34" s="179">
        <v>58967.5</v>
      </c>
      <c r="M34" s="200">
        <f t="shared" si="10"/>
        <v>60500.654999999999</v>
      </c>
      <c r="N34" s="200">
        <f t="shared" si="11"/>
        <v>62073.672030000002</v>
      </c>
      <c r="O34" s="200">
        <f t="shared" si="11"/>
        <v>63687.587502780007</v>
      </c>
      <c r="P34" s="200">
        <f t="shared" si="12"/>
        <v>66871.966877919011</v>
      </c>
      <c r="Q34" s="200">
        <f t="shared" si="12"/>
        <v>70215.565221814963</v>
      </c>
      <c r="R34" s="200">
        <f t="shared" si="2"/>
        <v>72673.110004578484</v>
      </c>
      <c r="S34" s="200">
        <f t="shared" si="3"/>
        <v>75434.688184752464</v>
      </c>
      <c r="T34" s="200">
        <f t="shared" si="4"/>
        <v>76649.186664526977</v>
      </c>
      <c r="U34" s="200">
        <f t="shared" si="5"/>
        <v>80956.870955073391</v>
      </c>
      <c r="V34" s="200">
        <f t="shared" si="13"/>
        <v>91578.412424379014</v>
      </c>
      <c r="W34" s="200">
        <f t="shared" si="6"/>
        <v>100076.88909736139</v>
      </c>
      <c r="X34" s="200">
        <f t="shared" si="7"/>
        <v>105280.88733042419</v>
      </c>
      <c r="IU34" s="170"/>
      <c r="IV34" s="170"/>
    </row>
    <row r="35" spans="1:256">
      <c r="A35" s="198" t="s">
        <v>322</v>
      </c>
      <c r="B35" s="188">
        <f t="shared" si="8"/>
        <v>64788.662734291247</v>
      </c>
      <c r="C35" s="179"/>
      <c r="D35" s="179"/>
      <c r="E35" s="199">
        <v>27840</v>
      </c>
      <c r="F35" s="179">
        <f t="shared" si="9"/>
        <v>31682</v>
      </c>
      <c r="G35" s="179">
        <v>32835.224799999996</v>
      </c>
      <c r="H35" s="199">
        <v>33876</v>
      </c>
      <c r="J35" s="179">
        <v>35231</v>
      </c>
      <c r="K35" s="179">
        <v>36287.93</v>
      </c>
      <c r="M35" s="200">
        <f t="shared" si="10"/>
        <v>37231.41618</v>
      </c>
      <c r="N35" s="200">
        <f t="shared" si="11"/>
        <v>38199.433000680001</v>
      </c>
      <c r="O35" s="200">
        <f t="shared" si="11"/>
        <v>39192.618258697679</v>
      </c>
      <c r="P35" s="200">
        <f t="shared" si="12"/>
        <v>41152.249171632568</v>
      </c>
      <c r="Q35" s="200">
        <f t="shared" si="12"/>
        <v>43209.861630214196</v>
      </c>
      <c r="R35" s="200">
        <f t="shared" si="2"/>
        <v>44722.206787271687</v>
      </c>
      <c r="S35" s="200">
        <f t="shared" si="3"/>
        <v>46421.650645188012</v>
      </c>
      <c r="T35" s="200">
        <f t="shared" si="4"/>
        <v>47169.039220575542</v>
      </c>
      <c r="U35" s="200">
        <f t="shared" si="5"/>
        <v>49819.939224771886</v>
      </c>
      <c r="V35" s="200">
        <f t="shared" si="13"/>
        <v>56356.315251061955</v>
      </c>
      <c r="W35" s="200">
        <f t="shared" si="6"/>
        <v>61586.1813063605</v>
      </c>
      <c r="X35" s="200">
        <f t="shared" si="7"/>
        <v>64788.662734291247</v>
      </c>
      <c r="IU35" s="170"/>
      <c r="IV35" s="170"/>
    </row>
    <row r="36" spans="1:256">
      <c r="A36" s="198" t="s">
        <v>355</v>
      </c>
      <c r="B36" s="188">
        <f t="shared" si="8"/>
        <v>124178.11699343623</v>
      </c>
      <c r="C36" s="179"/>
      <c r="D36" s="179"/>
      <c r="E36" s="199">
        <v>53360</v>
      </c>
      <c r="F36" s="179">
        <f t="shared" si="9"/>
        <v>60724</v>
      </c>
      <c r="G36" s="179">
        <v>62934.353600000002</v>
      </c>
      <c r="H36" s="199">
        <v>64929</v>
      </c>
      <c r="J36" s="179">
        <v>67526</v>
      </c>
      <c r="K36" s="179">
        <v>69551.78</v>
      </c>
      <c r="M36" s="200">
        <f t="shared" si="10"/>
        <v>71360.126279999997</v>
      </c>
      <c r="N36" s="200">
        <f t="shared" si="11"/>
        <v>73215.489563280003</v>
      </c>
      <c r="O36" s="200">
        <f t="shared" si="11"/>
        <v>75119.092291925292</v>
      </c>
      <c r="P36" s="200">
        <f t="shared" si="12"/>
        <v>78875.046906521558</v>
      </c>
      <c r="Q36" s="200">
        <f t="shared" si="12"/>
        <v>82818.799251847639</v>
      </c>
      <c r="R36" s="200">
        <f t="shared" si="2"/>
        <v>85717.457225662292</v>
      </c>
      <c r="S36" s="200">
        <f t="shared" si="3"/>
        <v>88974.720600237459</v>
      </c>
      <c r="T36" s="200">
        <f t="shared" si="4"/>
        <v>90407.213601901283</v>
      </c>
      <c r="U36" s="200">
        <f t="shared" si="5"/>
        <v>95488.099006328135</v>
      </c>
      <c r="V36" s="200">
        <f t="shared" si="13"/>
        <v>108016.13759595838</v>
      </c>
      <c r="W36" s="200">
        <f t="shared" si="6"/>
        <v>118040.03516486332</v>
      </c>
      <c r="X36" s="200">
        <f t="shared" si="7"/>
        <v>124178.11699343623</v>
      </c>
      <c r="IU36" s="170"/>
      <c r="IV36" s="170"/>
    </row>
    <row r="37" spans="1:256">
      <c r="A37" s="198" t="s">
        <v>356</v>
      </c>
      <c r="B37" s="188">
        <f t="shared" si="8"/>
        <v>566902.17815064697</v>
      </c>
      <c r="C37" s="179"/>
      <c r="D37" s="179"/>
      <c r="E37" s="199">
        <v>243600</v>
      </c>
      <c r="F37" s="179">
        <f t="shared" si="9"/>
        <v>277217</v>
      </c>
      <c r="G37" s="179">
        <v>287307.69880000001</v>
      </c>
      <c r="H37" s="199">
        <v>296415</v>
      </c>
      <c r="J37" s="179">
        <v>308272</v>
      </c>
      <c r="K37" s="179">
        <v>317520.16000000003</v>
      </c>
      <c r="M37" s="200">
        <f t="shared" si="10"/>
        <v>325775.68416000006</v>
      </c>
      <c r="N37" s="200">
        <f>+M37*1.026</f>
        <v>334245.8519481601</v>
      </c>
      <c r="O37" s="200">
        <f>+N37*1.026</f>
        <v>342936.24409881228</v>
      </c>
      <c r="P37" s="200">
        <f t="shared" si="12"/>
        <v>360083.05630375294</v>
      </c>
      <c r="Q37" s="200">
        <f t="shared" si="12"/>
        <v>378087.20911894058</v>
      </c>
      <c r="R37" s="200">
        <f t="shared" si="2"/>
        <v>391320.26143810345</v>
      </c>
      <c r="S37" s="200">
        <f t="shared" si="3"/>
        <v>406190.43137275142</v>
      </c>
      <c r="T37" s="200">
        <f t="shared" si="4"/>
        <v>412730.09731785272</v>
      </c>
      <c r="U37" s="200">
        <f t="shared" si="5"/>
        <v>435925.52878711605</v>
      </c>
      <c r="V37" s="200">
        <f t="shared" si="13"/>
        <v>493118.95816398569</v>
      </c>
      <c r="W37" s="200">
        <f t="shared" si="6"/>
        <v>538880.39748160355</v>
      </c>
      <c r="X37" s="200">
        <f t="shared" si="7"/>
        <v>566902.17815064697</v>
      </c>
      <c r="IU37" s="170"/>
      <c r="IV37" s="170"/>
    </row>
    <row r="38" spans="1:256">
      <c r="A38" s="198" t="s">
        <v>326</v>
      </c>
      <c r="B38" s="188">
        <f t="shared" si="8"/>
        <v>60578.568248885633</v>
      </c>
      <c r="C38" s="179"/>
      <c r="D38" s="179"/>
      <c r="E38" s="199"/>
      <c r="H38" s="199"/>
      <c r="K38" s="179"/>
      <c r="M38" s="200"/>
      <c r="N38" s="200"/>
      <c r="O38" s="200"/>
      <c r="P38" s="200"/>
      <c r="Q38" s="200">
        <v>40402</v>
      </c>
      <c r="R38" s="200">
        <f t="shared" si="2"/>
        <v>41816.07</v>
      </c>
      <c r="S38" s="200">
        <f t="shared" si="3"/>
        <v>43405.08066</v>
      </c>
      <c r="T38" s="200">
        <f t="shared" si="4"/>
        <v>44103.902458625998</v>
      </c>
      <c r="U38" s="200">
        <f t="shared" si="5"/>
        <v>46582.541776800783</v>
      </c>
      <c r="V38" s="200">
        <f t="shared" si="13"/>
        <v>52694.171257917042</v>
      </c>
      <c r="W38" s="200">
        <f t="shared" si="6"/>
        <v>57584.190350651741</v>
      </c>
      <c r="X38" s="200">
        <f t="shared" si="7"/>
        <v>60578.568248885633</v>
      </c>
      <c r="IU38" s="170"/>
      <c r="IV38" s="170"/>
    </row>
    <row r="39" spans="1:256">
      <c r="A39" s="198" t="s">
        <v>325</v>
      </c>
      <c r="B39" s="188">
        <f t="shared" si="8"/>
        <v>243472.40591261195</v>
      </c>
      <c r="C39" s="179"/>
      <c r="D39" s="179"/>
      <c r="E39" s="199">
        <v>43890</v>
      </c>
      <c r="F39" s="179">
        <f t="shared" si="9"/>
        <v>49947</v>
      </c>
      <c r="G39" s="179">
        <v>51765.070800000001</v>
      </c>
      <c r="H39" s="199">
        <v>53406</v>
      </c>
      <c r="J39" s="179">
        <v>55542</v>
      </c>
      <c r="K39" s="179">
        <v>57208.26</v>
      </c>
      <c r="M39" s="200">
        <f t="shared" si="10"/>
        <v>58695.674760000002</v>
      </c>
      <c r="N39" s="200">
        <f t="shared" si="11"/>
        <v>60221.762303760006</v>
      </c>
      <c r="O39" s="200">
        <f t="shared" si="11"/>
        <v>61787.528123657765</v>
      </c>
      <c r="P39" s="200">
        <f t="shared" si="12"/>
        <v>64876.904529840656</v>
      </c>
      <c r="Q39" s="200">
        <f>156000*1.0409</f>
        <v>162380.4</v>
      </c>
      <c r="R39" s="200">
        <f t="shared" si="2"/>
        <v>168063.71399999998</v>
      </c>
      <c r="S39" s="200">
        <f t="shared" si="3"/>
        <v>174450.135132</v>
      </c>
      <c r="T39" s="200">
        <f t="shared" si="4"/>
        <v>177258.7823076252</v>
      </c>
      <c r="U39" s="200">
        <f t="shared" si="5"/>
        <v>187220.72587331373</v>
      </c>
      <c r="V39" s="200">
        <f t="shared" si="13"/>
        <v>211784.08510789249</v>
      </c>
      <c r="W39" s="200">
        <f t="shared" si="6"/>
        <v>231437.6482059049</v>
      </c>
      <c r="X39" s="200">
        <f t="shared" si="7"/>
        <v>243472.40591261195</v>
      </c>
      <c r="IU39" s="170"/>
      <c r="IV39" s="170"/>
    </row>
    <row r="40" spans="1:256">
      <c r="A40" s="198" t="s">
        <v>357</v>
      </c>
      <c r="B40" s="188">
        <f t="shared" si="8"/>
        <v>102139.93090142219</v>
      </c>
      <c r="C40" s="179"/>
      <c r="D40" s="179"/>
      <c r="E40" s="199">
        <v>43890</v>
      </c>
      <c r="F40" s="179">
        <f t="shared" si="9"/>
        <v>49947</v>
      </c>
      <c r="G40" s="179">
        <v>51765.070800000001</v>
      </c>
      <c r="H40" s="199">
        <v>53406</v>
      </c>
      <c r="J40" s="179">
        <v>55542</v>
      </c>
      <c r="K40" s="179">
        <v>57208.26</v>
      </c>
      <c r="M40" s="200">
        <f t="shared" si="10"/>
        <v>58695.674760000002</v>
      </c>
      <c r="N40" s="200">
        <f t="shared" si="11"/>
        <v>60221.762303760006</v>
      </c>
      <c r="O40" s="200">
        <f t="shared" si="11"/>
        <v>61787.528123657765</v>
      </c>
      <c r="P40" s="200">
        <f t="shared" si="12"/>
        <v>64876.904529840656</v>
      </c>
      <c r="Q40" s="200">
        <f t="shared" si="12"/>
        <v>68120.749756332691</v>
      </c>
      <c r="R40" s="200">
        <f t="shared" si="2"/>
        <v>70504.975997804329</v>
      </c>
      <c r="S40" s="200">
        <f t="shared" si="3"/>
        <v>73184.165085720902</v>
      </c>
      <c r="T40" s="200">
        <f t="shared" si="4"/>
        <v>74362.430143601014</v>
      </c>
      <c r="U40" s="200">
        <f t="shared" si="5"/>
        <v>78541.598717671397</v>
      </c>
      <c r="V40" s="200">
        <f t="shared" si="13"/>
        <v>88846.256469429878</v>
      </c>
      <c r="W40" s="200">
        <f t="shared" si="6"/>
        <v>97091.189069792963</v>
      </c>
      <c r="X40" s="200">
        <f t="shared" si="7"/>
        <v>102139.93090142219</v>
      </c>
      <c r="IU40" s="170"/>
      <c r="IV40" s="170"/>
    </row>
    <row r="41" spans="1:256">
      <c r="A41" s="198" t="s">
        <v>328</v>
      </c>
      <c r="B41" s="188">
        <f t="shared" si="8"/>
        <v>114301.02274275137</v>
      </c>
      <c r="C41" s="179"/>
      <c r="D41" s="179"/>
      <c r="E41" s="199">
        <v>49115</v>
      </c>
      <c r="F41" s="179">
        <f t="shared" si="9"/>
        <v>55893</v>
      </c>
      <c r="G41" s="179">
        <v>57927.5052</v>
      </c>
      <c r="H41" s="199">
        <v>59764</v>
      </c>
      <c r="J41" s="179">
        <v>62155</v>
      </c>
      <c r="K41" s="179">
        <v>64019.65</v>
      </c>
      <c r="M41" s="200">
        <f t="shared" si="10"/>
        <v>65684.160900000003</v>
      </c>
      <c r="N41" s="200">
        <f t="shared" si="11"/>
        <v>67391.949083400003</v>
      </c>
      <c r="O41" s="200">
        <f t="shared" si="11"/>
        <v>69144.13975956841</v>
      </c>
      <c r="P41" s="200">
        <f t="shared" si="12"/>
        <v>72601.346747546835</v>
      </c>
      <c r="Q41" s="200">
        <f t="shared" si="12"/>
        <v>76231.414084924181</v>
      </c>
      <c r="R41" s="200">
        <f t="shared" si="2"/>
        <v>78899.51357789652</v>
      </c>
      <c r="S41" s="200">
        <f t="shared" si="3"/>
        <v>81897.695093856586</v>
      </c>
      <c r="T41" s="200">
        <f t="shared" si="4"/>
        <v>83216.247984867674</v>
      </c>
      <c r="U41" s="200">
        <f t="shared" si="5"/>
        <v>87893.001121617242</v>
      </c>
      <c r="V41" s="200">
        <f t="shared" si="13"/>
        <v>99424.562868773428</v>
      </c>
      <c r="W41" s="200">
        <f t="shared" si="6"/>
        <v>108651.1623029956</v>
      </c>
      <c r="X41" s="200">
        <f t="shared" si="7"/>
        <v>114301.02274275137</v>
      </c>
      <c r="IU41" s="170"/>
      <c r="IV41" s="170"/>
    </row>
    <row r="42" spans="1:256">
      <c r="A42" s="198" t="s">
        <v>332</v>
      </c>
      <c r="B42" s="188">
        <f t="shared" si="8"/>
        <v>632295.86118068849</v>
      </c>
      <c r="C42" s="179"/>
      <c r="D42" s="179"/>
      <c r="E42" s="199">
        <v>271700</v>
      </c>
      <c r="F42" s="179">
        <f t="shared" si="9"/>
        <v>309195</v>
      </c>
      <c r="G42" s="179">
        <v>320449.69799999997</v>
      </c>
      <c r="H42" s="199">
        <v>330608</v>
      </c>
      <c r="J42" s="179">
        <v>343832</v>
      </c>
      <c r="K42" s="179">
        <v>354146.96</v>
      </c>
      <c r="M42" s="200">
        <f t="shared" si="10"/>
        <v>363354.78096</v>
      </c>
      <c r="N42" s="200">
        <f t="shared" si="11"/>
        <v>372802.00526496</v>
      </c>
      <c r="O42" s="200">
        <f t="shared" si="11"/>
        <v>382494.85740184895</v>
      </c>
      <c r="P42" s="200">
        <f t="shared" si="12"/>
        <v>401619.6002719414</v>
      </c>
      <c r="Q42" s="200">
        <f t="shared" si="12"/>
        <v>421700.58028553851</v>
      </c>
      <c r="R42" s="200">
        <f t="shared" si="2"/>
        <v>436460.10059553233</v>
      </c>
      <c r="S42" s="200">
        <f t="shared" si="3"/>
        <v>453045.58441816259</v>
      </c>
      <c r="T42" s="200">
        <f t="shared" si="4"/>
        <v>460339.618327295</v>
      </c>
      <c r="U42" s="200">
        <f t="shared" si="5"/>
        <v>486210.70487728901</v>
      </c>
      <c r="V42" s="200">
        <f t="shared" si="13"/>
        <v>550001.54935718933</v>
      </c>
      <c r="W42" s="200">
        <f t="shared" si="6"/>
        <v>601041.69313753652</v>
      </c>
      <c r="X42" s="200">
        <f t="shared" si="7"/>
        <v>632295.86118068849</v>
      </c>
      <c r="IU42" s="170"/>
      <c r="IV42" s="170"/>
    </row>
    <row r="43" spans="1:256">
      <c r="A43" s="198" t="s">
        <v>329</v>
      </c>
      <c r="B43" s="188">
        <f t="shared" si="8"/>
        <v>26749.620735517034</v>
      </c>
      <c r="C43" s="179"/>
      <c r="D43" s="179"/>
      <c r="E43" s="199">
        <v>11495</v>
      </c>
      <c r="F43" s="179">
        <f t="shared" si="9"/>
        <v>13081</v>
      </c>
      <c r="G43" s="179">
        <v>13557.1484</v>
      </c>
      <c r="H43" s="199">
        <v>13987</v>
      </c>
      <c r="J43" s="179">
        <v>14546</v>
      </c>
      <c r="K43" s="179">
        <v>14982.380000000001</v>
      </c>
      <c r="M43" s="200">
        <f t="shared" si="10"/>
        <v>15371.921880000002</v>
      </c>
      <c r="N43" s="200">
        <f t="shared" si="11"/>
        <v>15771.591848880002</v>
      </c>
      <c r="O43" s="200">
        <f t="shared" si="11"/>
        <v>16181.653236950882</v>
      </c>
      <c r="P43" s="200">
        <f t="shared" si="12"/>
        <v>16990.735898798426</v>
      </c>
      <c r="Q43" s="200">
        <f t="shared" si="12"/>
        <v>17840.272693738349</v>
      </c>
      <c r="R43" s="200">
        <f t="shared" si="2"/>
        <v>18464.682238019188</v>
      </c>
      <c r="S43" s="200">
        <f t="shared" si="3"/>
        <v>19166.340163063916</v>
      </c>
      <c r="T43" s="200">
        <f t="shared" si="4"/>
        <v>19474.918239689247</v>
      </c>
      <c r="U43" s="200">
        <f t="shared" si="5"/>
        <v>20569.408644759784</v>
      </c>
      <c r="V43" s="200">
        <f t="shared" si="13"/>
        <v>23268.115058952266</v>
      </c>
      <c r="W43" s="200">
        <f t="shared" si="6"/>
        <v>25427.396136423034</v>
      </c>
      <c r="X43" s="200">
        <f t="shared" si="7"/>
        <v>26749.620735517034</v>
      </c>
      <c r="IU43" s="170"/>
      <c r="IV43" s="170"/>
    </row>
    <row r="44" spans="1:256">
      <c r="A44" s="198" t="s">
        <v>331</v>
      </c>
      <c r="B44" s="188">
        <f t="shared" si="8"/>
        <v>1106085.0677435207</v>
      </c>
      <c r="C44" s="179"/>
      <c r="D44" s="179"/>
      <c r="E44" s="199"/>
      <c r="H44" s="199"/>
      <c r="K44" s="179"/>
      <c r="M44" s="200"/>
      <c r="N44" s="200"/>
      <c r="O44" s="200"/>
      <c r="P44" s="200"/>
      <c r="Q44" s="200"/>
      <c r="R44" s="200">
        <v>763506.5</v>
      </c>
      <c r="S44" s="200">
        <f t="shared" si="3"/>
        <v>792519.74699999997</v>
      </c>
      <c r="T44" s="200">
        <f t="shared" si="4"/>
        <v>805279.31492669997</v>
      </c>
      <c r="U44" s="200">
        <f t="shared" si="5"/>
        <v>850536.01242558053</v>
      </c>
      <c r="V44" s="200">
        <f t="shared" si="13"/>
        <v>962126.33725581667</v>
      </c>
      <c r="W44" s="200">
        <f t="shared" si="6"/>
        <v>1051411.6613531564</v>
      </c>
      <c r="X44" s="200">
        <f t="shared" si="7"/>
        <v>1106085.0677435207</v>
      </c>
      <c r="IU44" s="170"/>
      <c r="IV44" s="170"/>
    </row>
    <row r="45" spans="1:256">
      <c r="A45" s="198" t="s">
        <v>330</v>
      </c>
      <c r="B45" s="188">
        <f t="shared" si="8"/>
        <v>350939.35604718782</v>
      </c>
      <c r="C45" s="179"/>
      <c r="D45" s="179"/>
      <c r="E45" s="199">
        <v>150800</v>
      </c>
      <c r="F45" s="179">
        <f t="shared" si="9"/>
        <v>171610</v>
      </c>
      <c r="G45" s="179">
        <v>177856.60399999999</v>
      </c>
      <c r="H45" s="199">
        <v>183495</v>
      </c>
      <c r="J45" s="179">
        <v>190835</v>
      </c>
      <c r="K45" s="179">
        <v>196560.05000000002</v>
      </c>
      <c r="M45" s="200">
        <f t="shared" si="10"/>
        <v>201670.61130000002</v>
      </c>
      <c r="N45" s="200">
        <f t="shared" si="11"/>
        <v>206914.04719380001</v>
      </c>
      <c r="O45" s="200">
        <f t="shared" si="11"/>
        <v>212293.8124208388</v>
      </c>
      <c r="P45" s="200">
        <f t="shared" si="12"/>
        <v>222908.50304188076</v>
      </c>
      <c r="Q45" s="200">
        <f t="shared" si="12"/>
        <v>234053.9281939748</v>
      </c>
      <c r="R45" s="200">
        <f>+Q45*1.035</f>
        <v>242245.81568076392</v>
      </c>
      <c r="S45" s="200">
        <f t="shared" si="3"/>
        <v>251451.15667663296</v>
      </c>
      <c r="T45" s="200">
        <f t="shared" si="4"/>
        <v>255499.52029912674</v>
      </c>
      <c r="U45" s="200">
        <f t="shared" si="5"/>
        <v>269858.59333993768</v>
      </c>
      <c r="V45" s="200">
        <f t="shared" si="13"/>
        <v>305264.04078613751</v>
      </c>
      <c r="W45" s="200">
        <f t="shared" si="6"/>
        <v>333592.54377109109</v>
      </c>
      <c r="X45" s="200">
        <f t="shared" si="7"/>
        <v>350939.35604718782</v>
      </c>
      <c r="IU45" s="170"/>
      <c r="IV45" s="170"/>
    </row>
    <row r="46" spans="1:256">
      <c r="A46" s="198"/>
      <c r="B46" s="202"/>
      <c r="C46" s="179"/>
      <c r="D46" s="179"/>
      <c r="Q46" s="170"/>
    </row>
    <row r="47" spans="1:256">
      <c r="D47" s="187"/>
    </row>
    <row r="48" spans="1:256">
      <c r="D48" s="187"/>
    </row>
    <row r="49" spans="4:4">
      <c r="D49" s="187"/>
    </row>
    <row r="50" spans="4:4">
      <c r="D50" s="187"/>
    </row>
    <row r="51" spans="4:4">
      <c r="D51" s="187"/>
    </row>
    <row r="52" spans="4:4">
      <c r="D52" s="187"/>
    </row>
    <row r="53" spans="4:4">
      <c r="D53" s="187"/>
    </row>
    <row r="54" spans="4:4">
      <c r="D54" s="187"/>
    </row>
    <row r="55" spans="4:4">
      <c r="D55" s="187"/>
    </row>
    <row r="56" spans="4:4">
      <c r="D56" s="187"/>
    </row>
    <row r="57" spans="4:4">
      <c r="D57" s="187"/>
    </row>
    <row r="58" spans="4:4">
      <c r="D58" s="187"/>
    </row>
    <row r="59" spans="4:4">
      <c r="D59" s="187"/>
    </row>
    <row r="60" spans="4:4">
      <c r="D60" s="187"/>
    </row>
    <row r="61" spans="4:4">
      <c r="D61" s="187"/>
    </row>
    <row r="62" spans="4:4">
      <c r="D62" s="187"/>
    </row>
    <row r="63" spans="4:4">
      <c r="D63" s="187"/>
    </row>
    <row r="64" spans="4:4">
      <c r="D64" s="187"/>
    </row>
    <row r="65" spans="4:4">
      <c r="D65" s="187"/>
    </row>
    <row r="66" spans="4:4">
      <c r="D66" s="187"/>
    </row>
    <row r="67" spans="4:4">
      <c r="D67" s="187"/>
    </row>
    <row r="68" spans="4:4">
      <c r="D68" s="187"/>
    </row>
    <row r="69" spans="4:4">
      <c r="D69" s="187"/>
    </row>
    <row r="70" spans="4:4">
      <c r="D70" s="187"/>
    </row>
    <row r="71" spans="4:4">
      <c r="D71" s="187"/>
    </row>
    <row r="72" spans="4:4">
      <c r="D72" s="187"/>
    </row>
    <row r="73" spans="4:4">
      <c r="D73" s="187"/>
    </row>
    <row r="74" spans="4:4">
      <c r="D74" s="187"/>
    </row>
    <row r="75" spans="4:4">
      <c r="D75" s="187"/>
    </row>
    <row r="76" spans="4:4">
      <c r="D76" s="187"/>
    </row>
    <row r="77" spans="4:4">
      <c r="D77" s="187"/>
    </row>
    <row r="78" spans="4:4">
      <c r="D78" s="187"/>
    </row>
    <row r="79" spans="4:4">
      <c r="D79" s="187"/>
    </row>
    <row r="80" spans="4:4">
      <c r="D80" s="187"/>
    </row>
    <row r="81" spans="4:4">
      <c r="D81" s="187"/>
    </row>
    <row r="82" spans="4:4">
      <c r="D82" s="187"/>
    </row>
    <row r="83" spans="4:4">
      <c r="D83" s="187"/>
    </row>
    <row r="84" spans="4:4">
      <c r="D84" s="187"/>
    </row>
    <row r="85" spans="4:4">
      <c r="D85" s="187"/>
    </row>
    <row r="86" spans="4:4">
      <c r="D86" s="187"/>
    </row>
    <row r="87" spans="4:4">
      <c r="D87" s="187"/>
    </row>
    <row r="88" spans="4:4">
      <c r="D88" s="187"/>
    </row>
    <row r="89" spans="4:4">
      <c r="D89" s="187"/>
    </row>
    <row r="90" spans="4:4">
      <c r="D90" s="187"/>
    </row>
    <row r="91" spans="4:4">
      <c r="D91" s="187"/>
    </row>
    <row r="92" spans="4:4">
      <c r="D92" s="187"/>
    </row>
    <row r="93" spans="4:4">
      <c r="D93" s="187"/>
    </row>
    <row r="94" spans="4:4">
      <c r="D94" s="187"/>
    </row>
    <row r="95" spans="4:4">
      <c r="D95" s="187"/>
    </row>
    <row r="96" spans="4:4">
      <c r="D96" s="187"/>
    </row>
    <row r="97" spans="4:4">
      <c r="D97" s="187"/>
    </row>
    <row r="98" spans="4:4">
      <c r="D98" s="187"/>
    </row>
    <row r="99" spans="4:4">
      <c r="D99" s="187"/>
    </row>
    <row r="100" spans="4:4">
      <c r="D100" s="187"/>
    </row>
    <row r="101" spans="4:4">
      <c r="D101" s="187"/>
    </row>
    <row r="102" spans="4:4">
      <c r="D102" s="187"/>
    </row>
    <row r="103" spans="4:4">
      <c r="D103" s="187"/>
    </row>
    <row r="104" spans="4:4">
      <c r="D104" s="187"/>
    </row>
    <row r="105" spans="4:4">
      <c r="D105" s="187"/>
    </row>
    <row r="106" spans="4:4">
      <c r="D106" s="187"/>
    </row>
    <row r="107" spans="4:4">
      <c r="D107" s="187"/>
    </row>
    <row r="108" spans="4:4">
      <c r="D108" s="187"/>
    </row>
    <row r="109" spans="4:4">
      <c r="D109" s="187"/>
    </row>
    <row r="110" spans="4:4">
      <c r="D110" s="187"/>
    </row>
    <row r="111" spans="4:4">
      <c r="D111" s="187"/>
    </row>
    <row r="112" spans="4:4">
      <c r="D112" s="187"/>
    </row>
    <row r="113" spans="4:4">
      <c r="D113" s="187"/>
    </row>
    <row r="114" spans="4:4">
      <c r="D114" s="187"/>
    </row>
    <row r="115" spans="4:4">
      <c r="D115" s="187"/>
    </row>
    <row r="116" spans="4:4">
      <c r="D116" s="187"/>
    </row>
    <row r="117" spans="4:4">
      <c r="D117" s="187"/>
    </row>
    <row r="118" spans="4:4">
      <c r="D118" s="187"/>
    </row>
    <row r="119" spans="4:4">
      <c r="D119" s="187"/>
    </row>
    <row r="120" spans="4:4">
      <c r="D120" s="187"/>
    </row>
    <row r="121" spans="4:4">
      <c r="D121" s="187"/>
    </row>
    <row r="122" spans="4:4">
      <c r="D122" s="187"/>
    </row>
    <row r="123" spans="4:4">
      <c r="D123" s="187"/>
    </row>
    <row r="124" spans="4:4">
      <c r="D124" s="187"/>
    </row>
    <row r="125" spans="4:4">
      <c r="D125" s="187"/>
    </row>
    <row r="126" spans="4:4">
      <c r="D126" s="187"/>
    </row>
    <row r="127" spans="4:4">
      <c r="D127" s="187"/>
    </row>
    <row r="128" spans="4:4">
      <c r="D128" s="187"/>
    </row>
    <row r="129" spans="4:4">
      <c r="D129" s="187"/>
    </row>
    <row r="130" spans="4:4">
      <c r="D130" s="187"/>
    </row>
    <row r="131" spans="4:4">
      <c r="D131" s="187"/>
    </row>
    <row r="132" spans="4:4">
      <c r="D132" s="187"/>
    </row>
    <row r="133" spans="4:4">
      <c r="D133" s="187"/>
    </row>
    <row r="134" spans="4:4">
      <c r="D134" s="187"/>
    </row>
    <row r="135" spans="4:4">
      <c r="D135" s="187"/>
    </row>
    <row r="136" spans="4:4">
      <c r="D136" s="187"/>
    </row>
    <row r="137" spans="4:4">
      <c r="D137" s="187"/>
    </row>
    <row r="138" spans="4:4">
      <c r="D138" s="187"/>
    </row>
    <row r="139" spans="4:4">
      <c r="D139" s="187"/>
    </row>
    <row r="140" spans="4:4">
      <c r="D140" s="187"/>
    </row>
    <row r="141" spans="4:4">
      <c r="D141" s="187"/>
    </row>
    <row r="142" spans="4:4">
      <c r="D142" s="187"/>
    </row>
    <row r="143" spans="4:4">
      <c r="D143" s="187"/>
    </row>
    <row r="144" spans="4:4">
      <c r="D144" s="187"/>
    </row>
    <row r="145" spans="4:4">
      <c r="D145" s="187"/>
    </row>
    <row r="146" spans="4:4">
      <c r="D146" s="187"/>
    </row>
    <row r="147" spans="4:4">
      <c r="D147" s="187"/>
    </row>
    <row r="148" spans="4:4">
      <c r="D148" s="187"/>
    </row>
    <row r="149" spans="4:4">
      <c r="D149" s="187"/>
    </row>
    <row r="150" spans="4:4">
      <c r="D150" s="187"/>
    </row>
    <row r="151" spans="4:4">
      <c r="D151" s="187"/>
    </row>
    <row r="152" spans="4:4">
      <c r="D152" s="187"/>
    </row>
    <row r="153" spans="4:4">
      <c r="D153" s="187"/>
    </row>
    <row r="154" spans="4:4">
      <c r="D154" s="187"/>
    </row>
    <row r="155" spans="4:4">
      <c r="D155" s="187"/>
    </row>
    <row r="156" spans="4:4">
      <c r="D156" s="187"/>
    </row>
    <row r="157" spans="4:4">
      <c r="D157" s="187"/>
    </row>
    <row r="158" spans="4:4">
      <c r="D158" s="187"/>
    </row>
    <row r="159" spans="4:4">
      <c r="D159" s="187"/>
    </row>
    <row r="160" spans="4:4">
      <c r="D160" s="187"/>
    </row>
    <row r="161" spans="4:4">
      <c r="D161" s="187"/>
    </row>
    <row r="162" spans="4:4">
      <c r="D162" s="187"/>
    </row>
    <row r="163" spans="4:4">
      <c r="D163" s="187"/>
    </row>
    <row r="164" spans="4:4">
      <c r="D164" s="187"/>
    </row>
    <row r="165" spans="4:4">
      <c r="D165" s="187"/>
    </row>
    <row r="166" spans="4:4">
      <c r="D166" s="187"/>
    </row>
    <row r="167" spans="4:4">
      <c r="D167" s="187"/>
    </row>
    <row r="168" spans="4:4">
      <c r="D168" s="187"/>
    </row>
    <row r="169" spans="4:4">
      <c r="D169" s="187"/>
    </row>
    <row r="170" spans="4:4">
      <c r="D170" s="187"/>
    </row>
    <row r="171" spans="4:4">
      <c r="D171" s="187"/>
    </row>
    <row r="172" spans="4:4">
      <c r="D172" s="187"/>
    </row>
    <row r="173" spans="4:4">
      <c r="D173" s="187"/>
    </row>
    <row r="174" spans="4:4">
      <c r="D174" s="187"/>
    </row>
    <row r="175" spans="4:4">
      <c r="D175" s="187"/>
    </row>
    <row r="176" spans="4:4">
      <c r="D176" s="187"/>
    </row>
    <row r="177" spans="4:4">
      <c r="D177" s="187"/>
    </row>
    <row r="178" spans="4:4">
      <c r="D178" s="187"/>
    </row>
    <row r="179" spans="4:4">
      <c r="D179" s="187"/>
    </row>
    <row r="180" spans="4:4">
      <c r="D180" s="187"/>
    </row>
    <row r="181" spans="4:4">
      <c r="D181" s="187"/>
    </row>
    <row r="182" spans="4:4">
      <c r="D182" s="187"/>
    </row>
    <row r="183" spans="4:4">
      <c r="D183" s="187"/>
    </row>
    <row r="184" spans="4:4">
      <c r="D184" s="187"/>
    </row>
    <row r="185" spans="4:4">
      <c r="D185" s="187"/>
    </row>
    <row r="186" spans="4:4">
      <c r="D186" s="187"/>
    </row>
    <row r="187" spans="4:4">
      <c r="D187" s="187"/>
    </row>
    <row r="188" spans="4:4">
      <c r="D188" s="187"/>
    </row>
    <row r="189" spans="4:4">
      <c r="D189" s="187"/>
    </row>
    <row r="190" spans="4:4">
      <c r="D190" s="187"/>
    </row>
    <row r="191" spans="4:4">
      <c r="D191" s="187"/>
    </row>
    <row r="192" spans="4:4">
      <c r="D192" s="187"/>
    </row>
    <row r="193" spans="4:4">
      <c r="D193" s="187"/>
    </row>
    <row r="194" spans="4:4">
      <c r="D194" s="187"/>
    </row>
    <row r="195" spans="4:4">
      <c r="D195" s="187"/>
    </row>
    <row r="196" spans="4:4">
      <c r="D196" s="187"/>
    </row>
    <row r="197" spans="4:4">
      <c r="D197" s="187"/>
    </row>
    <row r="198" spans="4:4">
      <c r="D198" s="187"/>
    </row>
    <row r="199" spans="4:4">
      <c r="D199" s="187"/>
    </row>
    <row r="200" spans="4:4">
      <c r="D200" s="187"/>
    </row>
    <row r="201" spans="4:4">
      <c r="D201" s="187"/>
    </row>
    <row r="202" spans="4:4">
      <c r="D202" s="187"/>
    </row>
    <row r="203" spans="4:4">
      <c r="D203" s="187"/>
    </row>
    <row r="204" spans="4:4">
      <c r="D204" s="187"/>
    </row>
    <row r="205" spans="4:4">
      <c r="D205" s="187"/>
    </row>
    <row r="206" spans="4:4">
      <c r="D206" s="187"/>
    </row>
    <row r="207" spans="4:4">
      <c r="D207" s="187"/>
    </row>
    <row r="208" spans="4:4">
      <c r="D208" s="187"/>
    </row>
    <row r="209" spans="4:4">
      <c r="D209" s="187"/>
    </row>
    <row r="210" spans="4:4">
      <c r="D210" s="187"/>
    </row>
    <row r="211" spans="4:4">
      <c r="D211" s="187"/>
    </row>
    <row r="212" spans="4:4">
      <c r="D212" s="187"/>
    </row>
    <row r="213" spans="4:4">
      <c r="D213" s="187"/>
    </row>
    <row r="214" spans="4:4">
      <c r="D214" s="187"/>
    </row>
    <row r="215" spans="4:4">
      <c r="D215" s="187"/>
    </row>
    <row r="216" spans="4:4">
      <c r="D216" s="187"/>
    </row>
    <row r="217" spans="4:4">
      <c r="D217" s="187"/>
    </row>
    <row r="218" spans="4:4">
      <c r="D218" s="187"/>
    </row>
    <row r="219" spans="4:4">
      <c r="D219" s="187"/>
    </row>
    <row r="220" spans="4:4">
      <c r="D220" s="187"/>
    </row>
    <row r="221" spans="4:4">
      <c r="D221" s="187"/>
    </row>
    <row r="222" spans="4:4">
      <c r="D222" s="187"/>
    </row>
    <row r="223" spans="4:4">
      <c r="D223" s="187"/>
    </row>
    <row r="224" spans="4:4">
      <c r="D224" s="187"/>
    </row>
    <row r="225" spans="4:4">
      <c r="D225" s="187"/>
    </row>
    <row r="226" spans="4:4">
      <c r="D226" s="187"/>
    </row>
    <row r="227" spans="4:4">
      <c r="D227" s="187"/>
    </row>
    <row r="228" spans="4:4">
      <c r="D228" s="187"/>
    </row>
    <row r="229" spans="4:4">
      <c r="D229" s="187"/>
    </row>
    <row r="230" spans="4:4">
      <c r="D230" s="187"/>
    </row>
    <row r="231" spans="4:4">
      <c r="D231" s="187"/>
    </row>
    <row r="232" spans="4:4">
      <c r="D232" s="187"/>
    </row>
    <row r="233" spans="4:4">
      <c r="D233" s="187"/>
    </row>
    <row r="234" spans="4:4">
      <c r="D234" s="187"/>
    </row>
    <row r="235" spans="4:4">
      <c r="D235" s="187"/>
    </row>
    <row r="236" spans="4:4">
      <c r="D236" s="187"/>
    </row>
    <row r="237" spans="4:4">
      <c r="D237" s="187"/>
    </row>
    <row r="238" spans="4:4">
      <c r="D238" s="187"/>
    </row>
    <row r="239" spans="4:4">
      <c r="D239" s="187"/>
    </row>
    <row r="240" spans="4:4">
      <c r="D240" s="187"/>
    </row>
    <row r="241" spans="4:4">
      <c r="D241" s="187"/>
    </row>
    <row r="242" spans="4:4">
      <c r="D242" s="187"/>
    </row>
    <row r="243" spans="4:4">
      <c r="D243" s="187"/>
    </row>
    <row r="244" spans="4:4">
      <c r="D244" s="187"/>
    </row>
    <row r="245" spans="4:4">
      <c r="D245" s="187"/>
    </row>
    <row r="246" spans="4:4">
      <c r="D246" s="187"/>
    </row>
    <row r="247" spans="4:4">
      <c r="D247" s="187"/>
    </row>
    <row r="248" spans="4:4">
      <c r="D248" s="187"/>
    </row>
    <row r="249" spans="4:4">
      <c r="D249" s="187"/>
    </row>
    <row r="250" spans="4:4">
      <c r="D250" s="187"/>
    </row>
    <row r="251" spans="4:4">
      <c r="D251" s="187"/>
    </row>
    <row r="252" spans="4:4">
      <c r="D252" s="187"/>
    </row>
    <row r="253" spans="4:4">
      <c r="D253" s="187"/>
    </row>
    <row r="254" spans="4:4">
      <c r="D254" s="187"/>
    </row>
    <row r="255" spans="4:4">
      <c r="D255" s="187"/>
    </row>
    <row r="256" spans="4:4">
      <c r="D256" s="187"/>
    </row>
    <row r="257" spans="4:4">
      <c r="D257" s="187"/>
    </row>
    <row r="258" spans="4:4">
      <c r="D258" s="187"/>
    </row>
    <row r="259" spans="4:4">
      <c r="D259" s="187"/>
    </row>
    <row r="260" spans="4:4">
      <c r="D260" s="187"/>
    </row>
    <row r="261" spans="4:4">
      <c r="D261" s="187"/>
    </row>
    <row r="262" spans="4:4">
      <c r="D262" s="187"/>
    </row>
    <row r="263" spans="4:4">
      <c r="D263" s="187"/>
    </row>
    <row r="264" spans="4:4">
      <c r="D264" s="187"/>
    </row>
    <row r="265" spans="4:4">
      <c r="D265" s="187"/>
    </row>
    <row r="266" spans="4:4">
      <c r="D266" s="187"/>
    </row>
    <row r="267" spans="4:4">
      <c r="D267" s="187"/>
    </row>
    <row r="268" spans="4:4">
      <c r="D268" s="187"/>
    </row>
    <row r="269" spans="4:4">
      <c r="D269" s="187"/>
    </row>
    <row r="270" spans="4:4">
      <c r="D270" s="187"/>
    </row>
    <row r="271" spans="4:4">
      <c r="D271" s="187"/>
    </row>
    <row r="272" spans="4:4">
      <c r="D272" s="187"/>
    </row>
    <row r="273" spans="4:4">
      <c r="D273" s="187"/>
    </row>
    <row r="274" spans="4:4">
      <c r="D274" s="187"/>
    </row>
    <row r="275" spans="4:4">
      <c r="D275" s="187"/>
    </row>
    <row r="276" spans="4:4">
      <c r="D276" s="187"/>
    </row>
    <row r="277" spans="4:4">
      <c r="D277" s="187"/>
    </row>
    <row r="278" spans="4:4">
      <c r="D278" s="187"/>
    </row>
    <row r="279" spans="4:4">
      <c r="D279" s="187"/>
    </row>
    <row r="280" spans="4:4">
      <c r="D280" s="187"/>
    </row>
    <row r="281" spans="4:4">
      <c r="D281" s="187"/>
    </row>
    <row r="282" spans="4:4">
      <c r="D282" s="187"/>
    </row>
    <row r="283" spans="4:4">
      <c r="D283" s="187"/>
    </row>
    <row r="284" spans="4:4">
      <c r="D284" s="187"/>
    </row>
    <row r="285" spans="4:4">
      <c r="D285" s="187"/>
    </row>
    <row r="286" spans="4:4">
      <c r="D286" s="187"/>
    </row>
    <row r="287" spans="4:4">
      <c r="D287" s="187"/>
    </row>
    <row r="288" spans="4:4">
      <c r="D288" s="187"/>
    </row>
    <row r="289" spans="4:4">
      <c r="D289" s="187"/>
    </row>
    <row r="290" spans="4:4">
      <c r="D290" s="187"/>
    </row>
    <row r="291" spans="4:4">
      <c r="D291" s="187"/>
    </row>
    <row r="292" spans="4:4">
      <c r="D292" s="187"/>
    </row>
    <row r="293" spans="4:4">
      <c r="D293" s="187"/>
    </row>
    <row r="294" spans="4:4">
      <c r="D294" s="187"/>
    </row>
    <row r="295" spans="4:4">
      <c r="D295" s="187"/>
    </row>
    <row r="296" spans="4:4">
      <c r="D296" s="187"/>
    </row>
    <row r="297" spans="4:4">
      <c r="D297" s="187"/>
    </row>
    <row r="298" spans="4:4">
      <c r="D298" s="187"/>
    </row>
    <row r="299" spans="4:4">
      <c r="D299" s="187"/>
    </row>
    <row r="300" spans="4:4">
      <c r="D300" s="187"/>
    </row>
    <row r="301" spans="4:4">
      <c r="D301" s="187"/>
    </row>
    <row r="302" spans="4:4">
      <c r="D302" s="187"/>
    </row>
    <row r="303" spans="4:4">
      <c r="D303" s="187"/>
    </row>
    <row r="304" spans="4:4">
      <c r="D304" s="187"/>
    </row>
    <row r="305" spans="4:4">
      <c r="D305" s="187"/>
    </row>
    <row r="306" spans="4:4">
      <c r="D306" s="187"/>
    </row>
    <row r="307" spans="4:4">
      <c r="D307" s="187"/>
    </row>
    <row r="308" spans="4:4">
      <c r="D308" s="187"/>
    </row>
    <row r="309" spans="4:4">
      <c r="D309" s="187"/>
    </row>
    <row r="310" spans="4:4">
      <c r="D310" s="187"/>
    </row>
    <row r="311" spans="4:4">
      <c r="D311" s="187"/>
    </row>
    <row r="312" spans="4:4">
      <c r="D312" s="187"/>
    </row>
    <row r="313" spans="4:4">
      <c r="D313" s="187"/>
    </row>
    <row r="314" spans="4:4">
      <c r="D314" s="187"/>
    </row>
    <row r="315" spans="4:4">
      <c r="D315" s="187"/>
    </row>
    <row r="316" spans="4:4">
      <c r="D316" s="187"/>
    </row>
    <row r="317" spans="4:4">
      <c r="D317" s="187"/>
    </row>
    <row r="318" spans="4:4">
      <c r="D318" s="187"/>
    </row>
    <row r="319" spans="4:4">
      <c r="D319" s="187"/>
    </row>
    <row r="320" spans="4:4">
      <c r="D320" s="187"/>
    </row>
    <row r="321" spans="4:4">
      <c r="D321" s="187"/>
    </row>
    <row r="322" spans="4:4">
      <c r="D322" s="187"/>
    </row>
    <row r="323" spans="4:4">
      <c r="D323" s="187"/>
    </row>
    <row r="324" spans="4:4">
      <c r="D324" s="187"/>
    </row>
    <row r="325" spans="4:4">
      <c r="D325" s="187"/>
    </row>
    <row r="326" spans="4:4">
      <c r="D326" s="187"/>
    </row>
    <row r="327" spans="4:4">
      <c r="D327" s="187"/>
    </row>
    <row r="328" spans="4:4">
      <c r="D328" s="187"/>
    </row>
    <row r="329" spans="4:4">
      <c r="D329" s="187"/>
    </row>
    <row r="330" spans="4:4">
      <c r="D330" s="187"/>
    </row>
    <row r="331" spans="4:4">
      <c r="D331" s="187"/>
    </row>
    <row r="332" spans="4:4">
      <c r="D332" s="187"/>
    </row>
    <row r="333" spans="4:4">
      <c r="D333" s="187"/>
    </row>
    <row r="334" spans="4:4">
      <c r="D334" s="187"/>
    </row>
    <row r="335" spans="4:4">
      <c r="D335" s="187"/>
    </row>
    <row r="336" spans="4:4">
      <c r="D336" s="187"/>
    </row>
    <row r="337" spans="4:4">
      <c r="D337" s="187"/>
    </row>
    <row r="338" spans="4:4">
      <c r="D338" s="187"/>
    </row>
    <row r="339" spans="4:4">
      <c r="D339" s="187"/>
    </row>
    <row r="340" spans="4:4">
      <c r="D340" s="187"/>
    </row>
    <row r="341" spans="4:4">
      <c r="D341" s="187"/>
    </row>
    <row r="342" spans="4:4">
      <c r="D342" s="187"/>
    </row>
    <row r="343" spans="4:4">
      <c r="D343" s="187"/>
    </row>
    <row r="344" spans="4:4">
      <c r="D344" s="187"/>
    </row>
    <row r="345" spans="4:4">
      <c r="D345" s="187"/>
    </row>
    <row r="346" spans="4:4">
      <c r="D346" s="187"/>
    </row>
    <row r="347" spans="4:4">
      <c r="D347" s="187"/>
    </row>
    <row r="348" spans="4:4">
      <c r="D348" s="187"/>
    </row>
    <row r="349" spans="4:4">
      <c r="D349" s="187"/>
    </row>
    <row r="350" spans="4:4">
      <c r="D350" s="187"/>
    </row>
    <row r="351" spans="4:4">
      <c r="D351" s="187"/>
    </row>
    <row r="352" spans="4:4">
      <c r="D352" s="187"/>
    </row>
    <row r="353" spans="4:4">
      <c r="D353" s="187"/>
    </row>
    <row r="354" spans="4:4">
      <c r="D354" s="187"/>
    </row>
    <row r="355" spans="4:4">
      <c r="D355" s="187"/>
    </row>
    <row r="356" spans="4:4">
      <c r="D356" s="187"/>
    </row>
    <row r="357" spans="4:4">
      <c r="D357" s="187"/>
    </row>
    <row r="358" spans="4:4">
      <c r="D358" s="187"/>
    </row>
    <row r="359" spans="4:4">
      <c r="D359" s="187"/>
    </row>
    <row r="360" spans="4:4">
      <c r="D360" s="187"/>
    </row>
    <row r="361" spans="4:4">
      <c r="D361" s="187"/>
    </row>
    <row r="362" spans="4:4">
      <c r="D362" s="187"/>
    </row>
    <row r="363" spans="4:4">
      <c r="D363" s="187"/>
    </row>
    <row r="364" spans="4:4">
      <c r="D364" s="187"/>
    </row>
    <row r="365" spans="4:4">
      <c r="D365" s="187"/>
    </row>
    <row r="366" spans="4:4">
      <c r="D366" s="187"/>
    </row>
    <row r="367" spans="4:4">
      <c r="D367" s="187"/>
    </row>
    <row r="368" spans="4:4">
      <c r="D368" s="187"/>
    </row>
    <row r="369" spans="4:4">
      <c r="D369" s="187"/>
    </row>
    <row r="370" spans="4:4">
      <c r="D370" s="187"/>
    </row>
    <row r="371" spans="4:4">
      <c r="D371" s="187"/>
    </row>
    <row r="372" spans="4:4">
      <c r="D372" s="187"/>
    </row>
    <row r="373" spans="4:4">
      <c r="D373" s="187"/>
    </row>
    <row r="374" spans="4:4">
      <c r="D374" s="187"/>
    </row>
    <row r="375" spans="4:4">
      <c r="D375" s="187"/>
    </row>
    <row r="376" spans="4:4">
      <c r="D376" s="187"/>
    </row>
    <row r="377" spans="4:4">
      <c r="D377" s="187"/>
    </row>
    <row r="378" spans="4:4">
      <c r="D378" s="187"/>
    </row>
    <row r="379" spans="4:4">
      <c r="D379" s="187"/>
    </row>
    <row r="380" spans="4:4">
      <c r="D380" s="187"/>
    </row>
    <row r="381" spans="4:4">
      <c r="D381" s="187"/>
    </row>
    <row r="382" spans="4:4">
      <c r="D382" s="187"/>
    </row>
    <row r="383" spans="4:4">
      <c r="D383" s="187"/>
    </row>
    <row r="384" spans="4:4">
      <c r="D384" s="187"/>
    </row>
    <row r="385" spans="4:4">
      <c r="D385" s="187"/>
    </row>
    <row r="386" spans="4:4">
      <c r="D386" s="187"/>
    </row>
    <row r="387" spans="4:4">
      <c r="D387" s="187"/>
    </row>
    <row r="388" spans="4:4">
      <c r="D388" s="187"/>
    </row>
    <row r="389" spans="4:4">
      <c r="D389" s="187"/>
    </row>
    <row r="390" spans="4:4">
      <c r="D390" s="187"/>
    </row>
    <row r="391" spans="4:4">
      <c r="D391" s="187"/>
    </row>
    <row r="392" spans="4:4">
      <c r="D392" s="187"/>
    </row>
    <row r="393" spans="4:4">
      <c r="D393" s="187"/>
    </row>
    <row r="394" spans="4:4">
      <c r="D394" s="187"/>
    </row>
    <row r="395" spans="4:4">
      <c r="D395" s="187"/>
    </row>
    <row r="396" spans="4:4">
      <c r="D396" s="187"/>
    </row>
    <row r="397" spans="4:4">
      <c r="D397" s="187"/>
    </row>
    <row r="398" spans="4:4">
      <c r="D398" s="187"/>
    </row>
    <row r="399" spans="4:4">
      <c r="D399" s="187"/>
    </row>
    <row r="400" spans="4:4">
      <c r="D400" s="187"/>
    </row>
    <row r="401" spans="4:4">
      <c r="D401" s="187"/>
    </row>
    <row r="402" spans="4:4">
      <c r="D402" s="187"/>
    </row>
    <row r="403" spans="4:4">
      <c r="D403" s="187"/>
    </row>
    <row r="404" spans="4:4">
      <c r="D404" s="187"/>
    </row>
    <row r="405" spans="4:4">
      <c r="D405" s="187"/>
    </row>
    <row r="406" spans="4:4">
      <c r="D406" s="187"/>
    </row>
    <row r="407" spans="4:4">
      <c r="D407" s="187"/>
    </row>
    <row r="408" spans="4:4">
      <c r="D408" s="187"/>
    </row>
    <row r="409" spans="4:4">
      <c r="D409" s="187"/>
    </row>
    <row r="410" spans="4:4">
      <c r="D410" s="187"/>
    </row>
    <row r="411" spans="4:4">
      <c r="D411" s="187"/>
    </row>
    <row r="412" spans="4:4">
      <c r="D412" s="187"/>
    </row>
    <row r="413" spans="4:4">
      <c r="D413" s="187"/>
    </row>
    <row r="414" spans="4:4">
      <c r="D414" s="187"/>
    </row>
    <row r="415" spans="4:4">
      <c r="D415" s="187"/>
    </row>
    <row r="416" spans="4:4">
      <c r="D416" s="187"/>
    </row>
    <row r="417" spans="4:4">
      <c r="D417" s="187"/>
    </row>
    <row r="418" spans="4:4">
      <c r="D418" s="187"/>
    </row>
    <row r="419" spans="4:4">
      <c r="D419" s="187"/>
    </row>
    <row r="420" spans="4:4">
      <c r="D420" s="187"/>
    </row>
    <row r="421" spans="4:4">
      <c r="D421" s="187"/>
    </row>
    <row r="422" spans="4:4">
      <c r="D422" s="187"/>
    </row>
    <row r="423" spans="4:4">
      <c r="D423" s="187"/>
    </row>
    <row r="424" spans="4:4">
      <c r="D424" s="187"/>
    </row>
    <row r="425" spans="4:4">
      <c r="D425" s="187"/>
    </row>
    <row r="426" spans="4:4">
      <c r="D426" s="187"/>
    </row>
    <row r="427" spans="4:4">
      <c r="D427" s="187"/>
    </row>
    <row r="428" spans="4:4">
      <c r="D428" s="187"/>
    </row>
    <row r="429" spans="4:4">
      <c r="D429" s="187"/>
    </row>
    <row r="430" spans="4:4">
      <c r="D430" s="187"/>
    </row>
    <row r="431" spans="4:4">
      <c r="D431" s="187"/>
    </row>
    <row r="432" spans="4:4">
      <c r="D432" s="187"/>
    </row>
    <row r="433" spans="4:4">
      <c r="D433" s="187"/>
    </row>
    <row r="434" spans="4:4">
      <c r="D434" s="187"/>
    </row>
    <row r="435" spans="4:4">
      <c r="D435" s="187"/>
    </row>
    <row r="436" spans="4:4">
      <c r="D436" s="187"/>
    </row>
    <row r="437" spans="4:4">
      <c r="D437" s="187"/>
    </row>
    <row r="438" spans="4:4">
      <c r="D438" s="187"/>
    </row>
    <row r="439" spans="4:4">
      <c r="D439" s="187"/>
    </row>
    <row r="440" spans="4:4">
      <c r="D440" s="187"/>
    </row>
    <row r="441" spans="4:4">
      <c r="D441" s="187"/>
    </row>
    <row r="442" spans="4:4">
      <c r="D442" s="187"/>
    </row>
    <row r="443" spans="4:4">
      <c r="D443" s="187"/>
    </row>
    <row r="444" spans="4:4">
      <c r="D444" s="187"/>
    </row>
    <row r="445" spans="4:4">
      <c r="D445" s="187"/>
    </row>
    <row r="446" spans="4:4">
      <c r="D446" s="187"/>
    </row>
    <row r="447" spans="4:4">
      <c r="D447" s="187"/>
    </row>
    <row r="448" spans="4:4">
      <c r="D448" s="187"/>
    </row>
    <row r="449" spans="4:4">
      <c r="D449" s="187"/>
    </row>
    <row r="450" spans="4:4">
      <c r="D450" s="187"/>
    </row>
    <row r="451" spans="4:4">
      <c r="D451" s="187"/>
    </row>
    <row r="452" spans="4:4">
      <c r="D452" s="187"/>
    </row>
    <row r="453" spans="4:4">
      <c r="D453" s="187"/>
    </row>
    <row r="454" spans="4:4">
      <c r="D454" s="187"/>
    </row>
    <row r="455" spans="4:4">
      <c r="D455" s="187"/>
    </row>
    <row r="456" spans="4:4">
      <c r="D456" s="187"/>
    </row>
    <row r="457" spans="4:4">
      <c r="D457" s="187"/>
    </row>
    <row r="458" spans="4:4">
      <c r="D458" s="187"/>
    </row>
    <row r="459" spans="4:4">
      <c r="D459" s="187"/>
    </row>
    <row r="460" spans="4:4">
      <c r="D460" s="187"/>
    </row>
    <row r="461" spans="4:4">
      <c r="D461" s="187"/>
    </row>
    <row r="462" spans="4:4">
      <c r="D462" s="187"/>
    </row>
    <row r="463" spans="4:4">
      <c r="D463" s="187"/>
    </row>
    <row r="464" spans="4:4">
      <c r="D464" s="187"/>
    </row>
    <row r="465" spans="4:4">
      <c r="D465" s="187"/>
    </row>
    <row r="466" spans="4:4">
      <c r="D466" s="187"/>
    </row>
    <row r="467" spans="4:4">
      <c r="D467" s="187"/>
    </row>
    <row r="468" spans="4:4">
      <c r="D468" s="187"/>
    </row>
    <row r="469" spans="4:4">
      <c r="D469" s="187"/>
    </row>
    <row r="470" spans="4:4">
      <c r="D470" s="187"/>
    </row>
    <row r="471" spans="4:4">
      <c r="D471" s="187"/>
    </row>
    <row r="472" spans="4:4">
      <c r="D472" s="187"/>
    </row>
    <row r="473" spans="4:4">
      <c r="D473" s="187"/>
    </row>
    <row r="474" spans="4:4">
      <c r="D474" s="187"/>
    </row>
    <row r="475" spans="4:4">
      <c r="D475" s="187"/>
    </row>
    <row r="476" spans="4:4">
      <c r="D476" s="187"/>
    </row>
    <row r="477" spans="4:4">
      <c r="D477" s="187"/>
    </row>
    <row r="478" spans="4:4">
      <c r="D478" s="187"/>
    </row>
    <row r="479" spans="4:4">
      <c r="D479" s="187"/>
    </row>
    <row r="480" spans="4:4">
      <c r="D480" s="187"/>
    </row>
    <row r="481" spans="4:4">
      <c r="D481" s="187"/>
    </row>
    <row r="482" spans="4:4">
      <c r="D482" s="187"/>
    </row>
    <row r="483" spans="4:4">
      <c r="D483" s="187"/>
    </row>
    <row r="484" spans="4:4">
      <c r="D484" s="187"/>
    </row>
    <row r="485" spans="4:4">
      <c r="D485" s="187"/>
    </row>
    <row r="486" spans="4:4">
      <c r="D486" s="187"/>
    </row>
    <row r="487" spans="4:4">
      <c r="D487" s="187"/>
    </row>
    <row r="488" spans="4:4">
      <c r="D488" s="187"/>
    </row>
    <row r="489" spans="4:4">
      <c r="D489" s="187"/>
    </row>
    <row r="490" spans="4:4">
      <c r="D490" s="187"/>
    </row>
    <row r="491" spans="4:4">
      <c r="D491" s="187"/>
    </row>
    <row r="492" spans="4:4">
      <c r="D492" s="187"/>
    </row>
    <row r="493" spans="4:4">
      <c r="D493" s="187"/>
    </row>
    <row r="494" spans="4:4">
      <c r="D494" s="187"/>
    </row>
    <row r="495" spans="4:4">
      <c r="D495" s="187"/>
    </row>
    <row r="496" spans="4:4">
      <c r="D496" s="187"/>
    </row>
    <row r="497" spans="4:4">
      <c r="D497" s="187"/>
    </row>
    <row r="498" spans="4:4">
      <c r="D498" s="187"/>
    </row>
    <row r="499" spans="4:4">
      <c r="D499" s="187"/>
    </row>
    <row r="500" spans="4:4">
      <c r="D500" s="187"/>
    </row>
    <row r="501" spans="4:4">
      <c r="D501" s="187"/>
    </row>
    <row r="502" spans="4:4">
      <c r="D502" s="187"/>
    </row>
    <row r="503" spans="4:4">
      <c r="D503" s="187"/>
    </row>
    <row r="504" spans="4:4">
      <c r="D504" s="187"/>
    </row>
    <row r="505" spans="4:4">
      <c r="D505" s="187"/>
    </row>
    <row r="506" spans="4:4">
      <c r="D506" s="187"/>
    </row>
    <row r="507" spans="4:4">
      <c r="D507" s="187"/>
    </row>
    <row r="508" spans="4:4">
      <c r="D508" s="187"/>
    </row>
    <row r="509" spans="4:4">
      <c r="D509" s="187"/>
    </row>
    <row r="510" spans="4:4">
      <c r="D510" s="187"/>
    </row>
    <row r="511" spans="4:4">
      <c r="D511" s="187"/>
    </row>
    <row r="512" spans="4:4">
      <c r="D512" s="187"/>
    </row>
    <row r="513" spans="4:4">
      <c r="D513" s="187"/>
    </row>
    <row r="514" spans="4:4">
      <c r="D514" s="187"/>
    </row>
    <row r="515" spans="4:4">
      <c r="D515" s="187"/>
    </row>
    <row r="516" spans="4:4">
      <c r="D516" s="187"/>
    </row>
    <row r="517" spans="4:4">
      <c r="D517" s="187"/>
    </row>
    <row r="518" spans="4:4">
      <c r="D518" s="187"/>
    </row>
    <row r="519" spans="4:4">
      <c r="D519" s="187"/>
    </row>
    <row r="520" spans="4:4">
      <c r="D520" s="187"/>
    </row>
    <row r="521" spans="4:4">
      <c r="D521" s="187"/>
    </row>
    <row r="522" spans="4:4">
      <c r="D522" s="187"/>
    </row>
    <row r="523" spans="4:4">
      <c r="D523" s="187"/>
    </row>
    <row r="524" spans="4:4">
      <c r="D524" s="187"/>
    </row>
    <row r="525" spans="4:4">
      <c r="D525" s="187"/>
    </row>
    <row r="526" spans="4:4">
      <c r="D526" s="187"/>
    </row>
    <row r="527" spans="4:4">
      <c r="D527" s="187"/>
    </row>
    <row r="528" spans="4:4">
      <c r="D528" s="187"/>
    </row>
    <row r="529" spans="4:4">
      <c r="D529" s="187"/>
    </row>
    <row r="530" spans="4:4">
      <c r="D530" s="187"/>
    </row>
    <row r="531" spans="4:4">
      <c r="D531" s="187"/>
    </row>
    <row r="532" spans="4:4">
      <c r="D532" s="187"/>
    </row>
    <row r="533" spans="4:4">
      <c r="D533" s="187"/>
    </row>
    <row r="534" spans="4:4">
      <c r="D534" s="187"/>
    </row>
    <row r="535" spans="4:4">
      <c r="D535" s="187"/>
    </row>
    <row r="536" spans="4:4">
      <c r="D536" s="187"/>
    </row>
    <row r="537" spans="4:4">
      <c r="D537" s="187"/>
    </row>
    <row r="538" spans="4:4">
      <c r="D538" s="187"/>
    </row>
    <row r="539" spans="4:4">
      <c r="D539" s="187"/>
    </row>
    <row r="540" spans="4:4">
      <c r="D540" s="187"/>
    </row>
    <row r="541" spans="4:4">
      <c r="D541" s="187"/>
    </row>
    <row r="542" spans="4:4">
      <c r="D542" s="187"/>
    </row>
    <row r="543" spans="4:4">
      <c r="D543" s="187"/>
    </row>
    <row r="544" spans="4:4">
      <c r="D544" s="187"/>
    </row>
    <row r="545" spans="4:4">
      <c r="D545" s="187"/>
    </row>
    <row r="546" spans="4:4">
      <c r="D546" s="187"/>
    </row>
    <row r="547" spans="4:4">
      <c r="D547" s="187"/>
    </row>
    <row r="548" spans="4:4">
      <c r="D548" s="187"/>
    </row>
    <row r="549" spans="4:4">
      <c r="D549" s="187"/>
    </row>
    <row r="550" spans="4:4">
      <c r="D550" s="187"/>
    </row>
    <row r="551" spans="4:4">
      <c r="D551" s="187"/>
    </row>
    <row r="552" spans="4:4">
      <c r="D552" s="187"/>
    </row>
    <row r="553" spans="4:4">
      <c r="D553" s="187"/>
    </row>
    <row r="554" spans="4:4">
      <c r="D554" s="187"/>
    </row>
    <row r="555" spans="4:4">
      <c r="D555" s="187"/>
    </row>
    <row r="556" spans="4:4">
      <c r="D556" s="187"/>
    </row>
    <row r="557" spans="4:4">
      <c r="D557" s="187"/>
    </row>
    <row r="558" spans="4:4">
      <c r="D558" s="187"/>
    </row>
    <row r="559" spans="4:4">
      <c r="D559" s="187"/>
    </row>
    <row r="560" spans="4:4">
      <c r="D560" s="187"/>
    </row>
    <row r="561" spans="4:4">
      <c r="D561" s="187"/>
    </row>
    <row r="562" spans="4:4">
      <c r="D562" s="187"/>
    </row>
    <row r="563" spans="4:4">
      <c r="D563" s="187"/>
    </row>
    <row r="564" spans="4:4">
      <c r="D564" s="187"/>
    </row>
    <row r="565" spans="4:4">
      <c r="D565" s="187"/>
    </row>
    <row r="566" spans="4:4">
      <c r="D566" s="187"/>
    </row>
    <row r="567" spans="4:4">
      <c r="D567" s="187"/>
    </row>
    <row r="568" spans="4:4">
      <c r="D568" s="187"/>
    </row>
    <row r="569" spans="4:4">
      <c r="D569" s="187"/>
    </row>
    <row r="570" spans="4:4">
      <c r="D570" s="187"/>
    </row>
    <row r="571" spans="4:4">
      <c r="D571" s="187"/>
    </row>
    <row r="572" spans="4:4">
      <c r="D572" s="187"/>
    </row>
    <row r="573" spans="4:4">
      <c r="D573" s="187"/>
    </row>
    <row r="574" spans="4:4">
      <c r="D574" s="187"/>
    </row>
    <row r="575" spans="4:4">
      <c r="D575" s="187"/>
    </row>
    <row r="576" spans="4:4">
      <c r="D576" s="187"/>
    </row>
    <row r="577" spans="4:4">
      <c r="D577" s="187"/>
    </row>
    <row r="578" spans="4:4">
      <c r="D578" s="187"/>
    </row>
    <row r="579" spans="4:4">
      <c r="D579" s="187"/>
    </row>
    <row r="580" spans="4:4">
      <c r="D580" s="187"/>
    </row>
    <row r="581" spans="4:4">
      <c r="D581" s="187"/>
    </row>
    <row r="582" spans="4:4">
      <c r="D582" s="187"/>
    </row>
    <row r="583" spans="4:4">
      <c r="D583" s="187"/>
    </row>
    <row r="584" spans="4:4">
      <c r="D584" s="187"/>
    </row>
    <row r="585" spans="4:4">
      <c r="D585" s="187"/>
    </row>
    <row r="586" spans="4:4">
      <c r="D586" s="187"/>
    </row>
    <row r="587" spans="4:4">
      <c r="D587" s="187"/>
    </row>
    <row r="588" spans="4:4">
      <c r="D588" s="187"/>
    </row>
    <row r="589" spans="4:4">
      <c r="D589" s="187"/>
    </row>
    <row r="590" spans="4:4">
      <c r="D590" s="187"/>
    </row>
    <row r="591" spans="4:4">
      <c r="D591" s="187"/>
    </row>
    <row r="592" spans="4:4">
      <c r="D592" s="187"/>
    </row>
    <row r="593" spans="4:4">
      <c r="D593" s="187"/>
    </row>
    <row r="594" spans="4:4">
      <c r="D594" s="187"/>
    </row>
    <row r="595" spans="4:4">
      <c r="D595" s="187"/>
    </row>
    <row r="596" spans="4:4">
      <c r="D596" s="187"/>
    </row>
    <row r="597" spans="4:4">
      <c r="D597" s="187"/>
    </row>
    <row r="598" spans="4:4">
      <c r="D598" s="187"/>
    </row>
    <row r="599" spans="4:4">
      <c r="D599" s="187"/>
    </row>
    <row r="600" spans="4:4">
      <c r="D600" s="187"/>
    </row>
    <row r="601" spans="4:4">
      <c r="D601" s="187"/>
    </row>
    <row r="602" spans="4:4">
      <c r="D602" s="187"/>
    </row>
    <row r="603" spans="4:4">
      <c r="D603" s="187"/>
    </row>
    <row r="604" spans="4:4">
      <c r="D604" s="187"/>
    </row>
    <row r="605" spans="4:4">
      <c r="D605" s="187"/>
    </row>
    <row r="606" spans="4:4">
      <c r="D606" s="187"/>
    </row>
    <row r="607" spans="4:4">
      <c r="D607" s="187"/>
    </row>
    <row r="608" spans="4:4">
      <c r="D608" s="187"/>
    </row>
    <row r="609" spans="4:4">
      <c r="D609" s="187"/>
    </row>
    <row r="610" spans="4:4">
      <c r="D610" s="187"/>
    </row>
    <row r="611" spans="4:4">
      <c r="D611" s="187"/>
    </row>
    <row r="612" spans="4:4">
      <c r="D612" s="187"/>
    </row>
    <row r="613" spans="4:4">
      <c r="D613" s="187"/>
    </row>
    <row r="614" spans="4:4">
      <c r="D614" s="187"/>
    </row>
    <row r="615" spans="4:4">
      <c r="D615" s="187"/>
    </row>
    <row r="616" spans="4:4">
      <c r="D616" s="187"/>
    </row>
    <row r="617" spans="4:4">
      <c r="D617" s="187"/>
    </row>
    <row r="618" spans="4:4">
      <c r="D618" s="187"/>
    </row>
    <row r="619" spans="4:4">
      <c r="D619" s="187"/>
    </row>
    <row r="620" spans="4:4">
      <c r="D620" s="187"/>
    </row>
    <row r="621" spans="4:4">
      <c r="D621" s="187"/>
    </row>
    <row r="622" spans="4:4">
      <c r="D622" s="187"/>
    </row>
    <row r="623" spans="4:4">
      <c r="D623" s="187"/>
    </row>
    <row r="624" spans="4:4">
      <c r="D624" s="187"/>
    </row>
    <row r="625" spans="4:4">
      <c r="D625" s="187"/>
    </row>
    <row r="626" spans="4:4">
      <c r="D626" s="187"/>
    </row>
    <row r="627" spans="4:4">
      <c r="D627" s="187"/>
    </row>
    <row r="628" spans="4:4">
      <c r="D628" s="187"/>
    </row>
    <row r="629" spans="4:4">
      <c r="D629" s="187"/>
    </row>
    <row r="630" spans="4:4">
      <c r="D630" s="187"/>
    </row>
    <row r="631" spans="4:4">
      <c r="D631" s="187"/>
    </row>
    <row r="632" spans="4:4">
      <c r="D632" s="187"/>
    </row>
    <row r="633" spans="4:4">
      <c r="D633" s="187"/>
    </row>
    <row r="634" spans="4:4">
      <c r="D634" s="187"/>
    </row>
    <row r="635" spans="4:4">
      <c r="D635" s="187"/>
    </row>
    <row r="636" spans="4:4">
      <c r="D636" s="187"/>
    </row>
    <row r="637" spans="4:4">
      <c r="D637" s="187"/>
    </row>
    <row r="638" spans="4:4">
      <c r="D638" s="187"/>
    </row>
    <row r="639" spans="4:4">
      <c r="D639" s="187"/>
    </row>
    <row r="640" spans="4:4">
      <c r="D640" s="187"/>
    </row>
    <row r="641" spans="4:4">
      <c r="D641" s="187"/>
    </row>
    <row r="642" spans="4:4">
      <c r="D642" s="187"/>
    </row>
    <row r="643" spans="4:4">
      <c r="D643" s="187"/>
    </row>
    <row r="644" spans="4:4">
      <c r="D644" s="187"/>
    </row>
    <row r="645" spans="4:4">
      <c r="D645" s="187"/>
    </row>
    <row r="646" spans="4:4">
      <c r="D646" s="187"/>
    </row>
    <row r="647" spans="4:4">
      <c r="D647" s="187"/>
    </row>
    <row r="648" spans="4:4">
      <c r="D648" s="187"/>
    </row>
    <row r="649" spans="4:4">
      <c r="D649" s="187"/>
    </row>
    <row r="650" spans="4:4">
      <c r="D650" s="187"/>
    </row>
    <row r="651" spans="4:4">
      <c r="D651" s="187"/>
    </row>
    <row r="652" spans="4:4">
      <c r="D652" s="187"/>
    </row>
    <row r="653" spans="4:4">
      <c r="D653" s="187"/>
    </row>
    <row r="654" spans="4:4">
      <c r="D654" s="187"/>
    </row>
    <row r="655" spans="4:4">
      <c r="D655" s="187"/>
    </row>
    <row r="656" spans="4:4">
      <c r="D656" s="187"/>
    </row>
    <row r="657" spans="4:4">
      <c r="D657" s="187"/>
    </row>
    <row r="658" spans="4:4">
      <c r="D658" s="187"/>
    </row>
    <row r="659" spans="4:4">
      <c r="D659" s="187"/>
    </row>
    <row r="660" spans="4:4">
      <c r="D660" s="187"/>
    </row>
    <row r="661" spans="4:4">
      <c r="D661" s="187"/>
    </row>
    <row r="662" spans="4:4">
      <c r="D662" s="187"/>
    </row>
    <row r="663" spans="4:4">
      <c r="D663" s="187"/>
    </row>
    <row r="664" spans="4:4">
      <c r="D664" s="187"/>
    </row>
    <row r="665" spans="4:4">
      <c r="D665" s="187"/>
    </row>
    <row r="666" spans="4:4">
      <c r="D666" s="187"/>
    </row>
    <row r="667" spans="4:4">
      <c r="D667" s="187"/>
    </row>
    <row r="668" spans="4:4">
      <c r="D668" s="187"/>
    </row>
    <row r="669" spans="4:4">
      <c r="D669" s="187"/>
    </row>
    <row r="670" spans="4:4">
      <c r="D670" s="187"/>
    </row>
    <row r="671" spans="4:4">
      <c r="D671" s="187"/>
    </row>
    <row r="672" spans="4:4">
      <c r="D672" s="187"/>
    </row>
    <row r="673" spans="4:4">
      <c r="D673" s="187"/>
    </row>
    <row r="674" spans="4:4">
      <c r="D674" s="187"/>
    </row>
    <row r="675" spans="4:4">
      <c r="D675" s="187"/>
    </row>
    <row r="676" spans="4:4">
      <c r="D676" s="187"/>
    </row>
    <row r="677" spans="4:4">
      <c r="D677" s="187"/>
    </row>
    <row r="678" spans="4:4">
      <c r="D678" s="187"/>
    </row>
    <row r="679" spans="4:4">
      <c r="D679" s="187"/>
    </row>
    <row r="680" spans="4:4">
      <c r="D680" s="187"/>
    </row>
    <row r="681" spans="4:4">
      <c r="D681" s="187"/>
    </row>
    <row r="682" spans="4:4">
      <c r="D682" s="187"/>
    </row>
    <row r="683" spans="4:4">
      <c r="D683" s="187"/>
    </row>
    <row r="684" spans="4:4">
      <c r="D684" s="187"/>
    </row>
    <row r="685" spans="4:4">
      <c r="D685" s="187"/>
    </row>
    <row r="686" spans="4:4">
      <c r="D686" s="187"/>
    </row>
    <row r="687" spans="4:4">
      <c r="D687" s="187"/>
    </row>
    <row r="688" spans="4:4">
      <c r="D688" s="187"/>
    </row>
    <row r="689" spans="4:4">
      <c r="D689" s="187"/>
    </row>
    <row r="690" spans="4:4">
      <c r="D690" s="187"/>
    </row>
    <row r="691" spans="4:4">
      <c r="D691" s="187"/>
    </row>
    <row r="692" spans="4:4">
      <c r="D692" s="187"/>
    </row>
    <row r="693" spans="4:4">
      <c r="D693" s="187"/>
    </row>
    <row r="694" spans="4:4">
      <c r="D694" s="187"/>
    </row>
    <row r="695" spans="4:4">
      <c r="D695" s="187"/>
    </row>
    <row r="696" spans="4:4">
      <c r="D696" s="187"/>
    </row>
    <row r="697" spans="4:4">
      <c r="D697" s="187"/>
    </row>
    <row r="698" spans="4:4">
      <c r="D698" s="187"/>
    </row>
    <row r="699" spans="4:4">
      <c r="D699" s="187"/>
    </row>
    <row r="700" spans="4:4">
      <c r="D700" s="187"/>
    </row>
    <row r="701" spans="4:4">
      <c r="D701" s="187"/>
    </row>
    <row r="702" spans="4:4">
      <c r="D702" s="187"/>
    </row>
    <row r="703" spans="4:4">
      <c r="D703" s="187"/>
    </row>
    <row r="704" spans="4:4">
      <c r="D704" s="187"/>
    </row>
    <row r="705" spans="4:4">
      <c r="D705" s="187"/>
    </row>
    <row r="706" spans="4:4">
      <c r="D706" s="187"/>
    </row>
    <row r="707" spans="4:4">
      <c r="D707" s="187"/>
    </row>
    <row r="708" spans="4:4">
      <c r="D708" s="187"/>
    </row>
    <row r="709" spans="4:4">
      <c r="D709" s="187"/>
    </row>
    <row r="710" spans="4:4">
      <c r="D710" s="187"/>
    </row>
    <row r="711" spans="4:4">
      <c r="D711" s="187"/>
    </row>
    <row r="712" spans="4:4">
      <c r="D712" s="187"/>
    </row>
    <row r="713" spans="4:4">
      <c r="D713" s="187"/>
    </row>
    <row r="714" spans="4:4">
      <c r="D714" s="187"/>
    </row>
    <row r="715" spans="4:4">
      <c r="D715" s="187"/>
    </row>
    <row r="716" spans="4:4">
      <c r="D716" s="187"/>
    </row>
    <row r="717" spans="4:4">
      <c r="D717" s="187"/>
    </row>
    <row r="718" spans="4:4">
      <c r="D718" s="187"/>
    </row>
    <row r="719" spans="4:4">
      <c r="D719" s="187"/>
    </row>
    <row r="720" spans="4:4">
      <c r="D720" s="187"/>
    </row>
    <row r="721" spans="4:4">
      <c r="D721" s="187"/>
    </row>
    <row r="722" spans="4:4">
      <c r="D722" s="187"/>
    </row>
    <row r="723" spans="4:4">
      <c r="D723" s="187"/>
    </row>
    <row r="724" spans="4:4">
      <c r="D724" s="187"/>
    </row>
    <row r="725" spans="4:4">
      <c r="D725" s="187"/>
    </row>
    <row r="726" spans="4:4">
      <c r="D726" s="187"/>
    </row>
    <row r="727" spans="4:4">
      <c r="D727" s="187"/>
    </row>
    <row r="728" spans="4:4">
      <c r="D728" s="187"/>
    </row>
    <row r="729" spans="4:4">
      <c r="D729" s="187"/>
    </row>
    <row r="730" spans="4:4">
      <c r="D730" s="187"/>
    </row>
    <row r="731" spans="4:4">
      <c r="D731" s="187"/>
    </row>
    <row r="732" spans="4:4">
      <c r="D732" s="187"/>
    </row>
    <row r="733" spans="4:4">
      <c r="D733" s="187"/>
    </row>
    <row r="734" spans="4:4">
      <c r="D734" s="187"/>
    </row>
    <row r="735" spans="4:4">
      <c r="D735" s="187"/>
    </row>
    <row r="736" spans="4:4">
      <c r="D736" s="187"/>
    </row>
    <row r="737" spans="4:4">
      <c r="D737" s="187"/>
    </row>
    <row r="738" spans="4:4">
      <c r="D738" s="187"/>
    </row>
    <row r="739" spans="4:4">
      <c r="D739" s="187"/>
    </row>
    <row r="740" spans="4:4">
      <c r="D740" s="187"/>
    </row>
    <row r="741" spans="4:4">
      <c r="D741" s="187"/>
    </row>
    <row r="742" spans="4:4">
      <c r="D742" s="187"/>
    </row>
    <row r="743" spans="4:4">
      <c r="D743" s="187"/>
    </row>
    <row r="744" spans="4:4">
      <c r="D744" s="187"/>
    </row>
    <row r="745" spans="4:4">
      <c r="D745" s="187"/>
    </row>
    <row r="746" spans="4:4">
      <c r="D746" s="187"/>
    </row>
    <row r="747" spans="4:4">
      <c r="D747" s="187"/>
    </row>
    <row r="748" spans="4:4">
      <c r="D748" s="187"/>
    </row>
    <row r="749" spans="4:4">
      <c r="D749" s="187"/>
    </row>
    <row r="750" spans="4:4">
      <c r="D750" s="187"/>
    </row>
    <row r="751" spans="4:4">
      <c r="D751" s="187"/>
    </row>
    <row r="752" spans="4:4">
      <c r="D752" s="187"/>
    </row>
    <row r="753" spans="4:4">
      <c r="D753" s="187"/>
    </row>
    <row r="754" spans="4:4">
      <c r="D754" s="187"/>
    </row>
    <row r="755" spans="4:4">
      <c r="D755" s="187"/>
    </row>
    <row r="756" spans="4:4">
      <c r="D756" s="187"/>
    </row>
    <row r="757" spans="4:4">
      <c r="D757" s="187"/>
    </row>
    <row r="758" spans="4:4">
      <c r="D758" s="187"/>
    </row>
    <row r="759" spans="4:4">
      <c r="D759" s="187"/>
    </row>
    <row r="760" spans="4:4">
      <c r="D760" s="187"/>
    </row>
    <row r="761" spans="4:4">
      <c r="D761" s="187"/>
    </row>
    <row r="762" spans="4:4">
      <c r="D762" s="187"/>
    </row>
    <row r="763" spans="4:4">
      <c r="D763" s="187"/>
    </row>
    <row r="764" spans="4:4">
      <c r="D764" s="187"/>
    </row>
    <row r="765" spans="4:4">
      <c r="D765" s="187"/>
    </row>
    <row r="766" spans="4:4">
      <c r="D766" s="187"/>
    </row>
    <row r="767" spans="4:4">
      <c r="D767" s="187"/>
    </row>
    <row r="768" spans="4:4">
      <c r="D768" s="187"/>
    </row>
    <row r="769" spans="4:4">
      <c r="D769" s="187"/>
    </row>
    <row r="770" spans="4:4">
      <c r="D770" s="187"/>
    </row>
    <row r="771" spans="4:4">
      <c r="D771" s="187"/>
    </row>
    <row r="772" spans="4:4">
      <c r="D772" s="187"/>
    </row>
    <row r="773" spans="4:4">
      <c r="D773" s="187"/>
    </row>
    <row r="774" spans="4:4">
      <c r="D774" s="187"/>
    </row>
    <row r="775" spans="4:4">
      <c r="D775" s="187"/>
    </row>
    <row r="776" spans="4:4">
      <c r="D776" s="187"/>
    </row>
    <row r="777" spans="4:4">
      <c r="D777" s="187"/>
    </row>
    <row r="778" spans="4:4">
      <c r="D778" s="187"/>
    </row>
    <row r="779" spans="4:4">
      <c r="D779" s="187"/>
    </row>
    <row r="780" spans="4:4">
      <c r="D780" s="187"/>
    </row>
    <row r="781" spans="4:4">
      <c r="D781" s="187"/>
    </row>
    <row r="782" spans="4:4">
      <c r="D782" s="187"/>
    </row>
    <row r="783" spans="4:4">
      <c r="D783" s="187"/>
    </row>
    <row r="784" spans="4:4">
      <c r="D784" s="187"/>
    </row>
    <row r="785" spans="4:4">
      <c r="D785" s="187"/>
    </row>
    <row r="786" spans="4:4">
      <c r="D786" s="187"/>
    </row>
    <row r="787" spans="4:4">
      <c r="D787" s="187"/>
    </row>
    <row r="788" spans="4:4">
      <c r="D788" s="187"/>
    </row>
    <row r="789" spans="4:4">
      <c r="D789" s="187"/>
    </row>
    <row r="790" spans="4:4">
      <c r="D790" s="187"/>
    </row>
    <row r="791" spans="4:4">
      <c r="D791" s="187"/>
    </row>
    <row r="792" spans="4:4">
      <c r="D792" s="187"/>
    </row>
    <row r="793" spans="4:4">
      <c r="D793" s="187"/>
    </row>
    <row r="794" spans="4:4">
      <c r="D794" s="187"/>
    </row>
    <row r="795" spans="4:4">
      <c r="D795" s="187"/>
    </row>
    <row r="796" spans="4:4">
      <c r="D796" s="187"/>
    </row>
    <row r="797" spans="4:4">
      <c r="D797" s="187"/>
    </row>
    <row r="798" spans="4:4">
      <c r="D798" s="187"/>
    </row>
    <row r="799" spans="4:4">
      <c r="D799" s="187"/>
    </row>
    <row r="800" spans="4:4">
      <c r="D800" s="187"/>
    </row>
    <row r="801" spans="4:4">
      <c r="D801" s="187"/>
    </row>
    <row r="802" spans="4:4">
      <c r="D802" s="187"/>
    </row>
    <row r="803" spans="4:4">
      <c r="D803" s="187"/>
    </row>
    <row r="804" spans="4:4">
      <c r="D804" s="187"/>
    </row>
    <row r="805" spans="4:4">
      <c r="D805" s="187"/>
    </row>
    <row r="806" spans="4:4">
      <c r="D806" s="187"/>
    </row>
    <row r="807" spans="4:4">
      <c r="D807" s="187"/>
    </row>
    <row r="808" spans="4:4">
      <c r="D808" s="187"/>
    </row>
    <row r="809" spans="4:4">
      <c r="D809" s="187"/>
    </row>
    <row r="810" spans="4:4">
      <c r="D810" s="187"/>
    </row>
    <row r="811" spans="4:4">
      <c r="D811" s="187"/>
    </row>
    <row r="812" spans="4:4">
      <c r="D812" s="187"/>
    </row>
    <row r="813" spans="4:4">
      <c r="D813" s="187"/>
    </row>
    <row r="814" spans="4:4">
      <c r="D814" s="187"/>
    </row>
    <row r="815" spans="4:4">
      <c r="D815" s="187"/>
    </row>
    <row r="816" spans="4:4">
      <c r="D816" s="187"/>
    </row>
    <row r="817" spans="4:4">
      <c r="D817" s="187"/>
    </row>
    <row r="818" spans="4:4">
      <c r="D818" s="187"/>
    </row>
    <row r="819" spans="4:4">
      <c r="D819" s="187"/>
    </row>
    <row r="820" spans="4:4">
      <c r="D820" s="187"/>
    </row>
    <row r="821" spans="4:4">
      <c r="D821" s="187"/>
    </row>
    <row r="822" spans="4:4">
      <c r="D822" s="187"/>
    </row>
    <row r="823" spans="4:4">
      <c r="D823" s="187"/>
    </row>
    <row r="824" spans="4:4">
      <c r="D824" s="187"/>
    </row>
    <row r="825" spans="4:4">
      <c r="D825" s="187"/>
    </row>
    <row r="826" spans="4:4">
      <c r="D826" s="187"/>
    </row>
    <row r="827" spans="4:4">
      <c r="D827" s="187"/>
    </row>
    <row r="828" spans="4:4">
      <c r="D828" s="187"/>
    </row>
    <row r="829" spans="4:4">
      <c r="D829" s="187"/>
    </row>
    <row r="830" spans="4:4">
      <c r="D830" s="187"/>
    </row>
    <row r="831" spans="4:4">
      <c r="D831" s="187"/>
    </row>
    <row r="832" spans="4:4">
      <c r="D832" s="187"/>
    </row>
    <row r="833" spans="4:4">
      <c r="D833" s="187"/>
    </row>
    <row r="834" spans="4:4">
      <c r="D834" s="187"/>
    </row>
    <row r="835" spans="4:4">
      <c r="D835" s="187"/>
    </row>
    <row r="836" spans="4:4">
      <c r="D836" s="187"/>
    </row>
    <row r="837" spans="4:4">
      <c r="D837" s="187"/>
    </row>
    <row r="838" spans="4:4">
      <c r="D838" s="187"/>
    </row>
    <row r="839" spans="4:4">
      <c r="D839" s="187"/>
    </row>
    <row r="840" spans="4:4">
      <c r="D840" s="187"/>
    </row>
    <row r="841" spans="4:4">
      <c r="D841" s="187"/>
    </row>
    <row r="842" spans="4:4">
      <c r="D842" s="187"/>
    </row>
    <row r="843" spans="4:4">
      <c r="D843" s="187"/>
    </row>
    <row r="844" spans="4:4">
      <c r="D844" s="187"/>
    </row>
    <row r="845" spans="4:4">
      <c r="D845" s="187"/>
    </row>
    <row r="846" spans="4:4">
      <c r="D846" s="187"/>
    </row>
    <row r="847" spans="4:4">
      <c r="D847" s="187"/>
    </row>
    <row r="848" spans="4:4">
      <c r="D848" s="187"/>
    </row>
    <row r="849" spans="4:4">
      <c r="D849" s="187"/>
    </row>
    <row r="850" spans="4:4">
      <c r="D850" s="187"/>
    </row>
    <row r="851" spans="4:4">
      <c r="D851" s="187"/>
    </row>
    <row r="852" spans="4:4">
      <c r="D852" s="187"/>
    </row>
    <row r="853" spans="4:4">
      <c r="D853" s="187"/>
    </row>
    <row r="854" spans="4:4">
      <c r="D854" s="187"/>
    </row>
    <row r="855" spans="4:4">
      <c r="D855" s="187"/>
    </row>
    <row r="856" spans="4:4">
      <c r="D856" s="187"/>
    </row>
    <row r="857" spans="4:4">
      <c r="D857" s="187"/>
    </row>
    <row r="858" spans="4:4">
      <c r="D858" s="187"/>
    </row>
    <row r="859" spans="4:4">
      <c r="D859" s="187"/>
    </row>
    <row r="860" spans="4:4">
      <c r="D860" s="187"/>
    </row>
    <row r="861" spans="4:4">
      <c r="D861" s="187"/>
    </row>
    <row r="862" spans="4:4">
      <c r="D862" s="187"/>
    </row>
    <row r="863" spans="4:4">
      <c r="D863" s="187"/>
    </row>
    <row r="864" spans="4:4">
      <c r="D864" s="187"/>
    </row>
    <row r="865" spans="4:4">
      <c r="D865" s="187"/>
    </row>
    <row r="866" spans="4:4">
      <c r="D866" s="187"/>
    </row>
    <row r="867" spans="4:4">
      <c r="D867" s="187"/>
    </row>
    <row r="868" spans="4:4">
      <c r="D868" s="187"/>
    </row>
    <row r="869" spans="4:4">
      <c r="D869" s="187"/>
    </row>
    <row r="870" spans="4:4">
      <c r="D870" s="187"/>
    </row>
    <row r="871" spans="4:4">
      <c r="D871" s="187"/>
    </row>
    <row r="872" spans="4:4">
      <c r="D872" s="187"/>
    </row>
    <row r="873" spans="4:4">
      <c r="D873" s="187"/>
    </row>
    <row r="874" spans="4:4">
      <c r="D874" s="187"/>
    </row>
    <row r="875" spans="4:4">
      <c r="D875" s="187"/>
    </row>
    <row r="876" spans="4:4">
      <c r="D876" s="187"/>
    </row>
    <row r="877" spans="4:4">
      <c r="D877" s="187"/>
    </row>
    <row r="878" spans="4:4">
      <c r="D878" s="187"/>
    </row>
    <row r="879" spans="4:4">
      <c r="D879" s="187"/>
    </row>
    <row r="880" spans="4:4">
      <c r="D880" s="187"/>
    </row>
    <row r="881" spans="4:4">
      <c r="D881" s="187"/>
    </row>
    <row r="882" spans="4:4">
      <c r="D882" s="187"/>
    </row>
    <row r="883" spans="4:4">
      <c r="D883" s="187"/>
    </row>
    <row r="884" spans="4:4">
      <c r="D884" s="187"/>
    </row>
    <row r="885" spans="4:4">
      <c r="D885" s="187"/>
    </row>
    <row r="886" spans="4:4">
      <c r="D886" s="187"/>
    </row>
    <row r="887" spans="4:4">
      <c r="D887" s="187"/>
    </row>
    <row r="888" spans="4:4">
      <c r="D888" s="187"/>
    </row>
    <row r="889" spans="4:4">
      <c r="D889" s="187"/>
    </row>
  </sheetData>
  <dataConsolidate/>
  <dataValidations count="1">
    <dataValidation type="list" allowBlank="1" showInputMessage="1" showErrorMessage="1" sqref="C2:C22 IY2:IY22 SU2:SU22 ACQ2:ACQ22 AMM2:AMM22 AWI2:AWI22 BGE2:BGE22 BQA2:BQA22 BZW2:BZW22 CJS2:CJS22 CTO2:CTO22 DDK2:DDK22 DNG2:DNG22 DXC2:DXC22 EGY2:EGY22 EQU2:EQU22 FAQ2:FAQ22 FKM2:FKM22 FUI2:FUI22 GEE2:GEE22 GOA2:GOA22 GXW2:GXW22 HHS2:HHS22 HRO2:HRO22 IBK2:IBK22 ILG2:ILG22 IVC2:IVC22 JEY2:JEY22 JOU2:JOU22 JYQ2:JYQ22 KIM2:KIM22 KSI2:KSI22 LCE2:LCE22 LMA2:LMA22 LVW2:LVW22 MFS2:MFS22 MPO2:MPO22 MZK2:MZK22 NJG2:NJG22 NTC2:NTC22 OCY2:OCY22 OMU2:OMU22 OWQ2:OWQ22 PGM2:PGM22 PQI2:PQI22 QAE2:QAE22 QKA2:QKA22 QTW2:QTW22 RDS2:RDS22 RNO2:RNO22 RXK2:RXK22 SHG2:SHG22 SRC2:SRC22 TAY2:TAY22 TKU2:TKU22 TUQ2:TUQ22 UEM2:UEM22 UOI2:UOI22 UYE2:UYE22 VIA2:VIA22 VRW2:VRW22 WBS2:WBS22 WLO2:WLO22 WVK2:WVK22 C65538:C65558 IY65538:IY65558 SU65538:SU65558 ACQ65538:ACQ65558 AMM65538:AMM65558 AWI65538:AWI65558 BGE65538:BGE65558 BQA65538:BQA65558 BZW65538:BZW65558 CJS65538:CJS65558 CTO65538:CTO65558 DDK65538:DDK65558 DNG65538:DNG65558 DXC65538:DXC65558 EGY65538:EGY65558 EQU65538:EQU65558 FAQ65538:FAQ65558 FKM65538:FKM65558 FUI65538:FUI65558 GEE65538:GEE65558 GOA65538:GOA65558 GXW65538:GXW65558 HHS65538:HHS65558 HRO65538:HRO65558 IBK65538:IBK65558 ILG65538:ILG65558 IVC65538:IVC65558 JEY65538:JEY65558 JOU65538:JOU65558 JYQ65538:JYQ65558 KIM65538:KIM65558 KSI65538:KSI65558 LCE65538:LCE65558 LMA65538:LMA65558 LVW65538:LVW65558 MFS65538:MFS65558 MPO65538:MPO65558 MZK65538:MZK65558 NJG65538:NJG65558 NTC65538:NTC65558 OCY65538:OCY65558 OMU65538:OMU65558 OWQ65538:OWQ65558 PGM65538:PGM65558 PQI65538:PQI65558 QAE65538:QAE65558 QKA65538:QKA65558 QTW65538:QTW65558 RDS65538:RDS65558 RNO65538:RNO65558 RXK65538:RXK65558 SHG65538:SHG65558 SRC65538:SRC65558 TAY65538:TAY65558 TKU65538:TKU65558 TUQ65538:TUQ65558 UEM65538:UEM65558 UOI65538:UOI65558 UYE65538:UYE65558 VIA65538:VIA65558 VRW65538:VRW65558 WBS65538:WBS65558 WLO65538:WLO65558 WVK65538:WVK65558 C131074:C131094 IY131074:IY131094 SU131074:SU131094 ACQ131074:ACQ131094 AMM131074:AMM131094 AWI131074:AWI131094 BGE131074:BGE131094 BQA131074:BQA131094 BZW131074:BZW131094 CJS131074:CJS131094 CTO131074:CTO131094 DDK131074:DDK131094 DNG131074:DNG131094 DXC131074:DXC131094 EGY131074:EGY131094 EQU131074:EQU131094 FAQ131074:FAQ131094 FKM131074:FKM131094 FUI131074:FUI131094 GEE131074:GEE131094 GOA131074:GOA131094 GXW131074:GXW131094 HHS131074:HHS131094 HRO131074:HRO131094 IBK131074:IBK131094 ILG131074:ILG131094 IVC131074:IVC131094 JEY131074:JEY131094 JOU131074:JOU131094 JYQ131074:JYQ131094 KIM131074:KIM131094 KSI131074:KSI131094 LCE131074:LCE131094 LMA131074:LMA131094 LVW131074:LVW131094 MFS131074:MFS131094 MPO131074:MPO131094 MZK131074:MZK131094 NJG131074:NJG131094 NTC131074:NTC131094 OCY131074:OCY131094 OMU131074:OMU131094 OWQ131074:OWQ131094 PGM131074:PGM131094 PQI131074:PQI131094 QAE131074:QAE131094 QKA131074:QKA131094 QTW131074:QTW131094 RDS131074:RDS131094 RNO131074:RNO131094 RXK131074:RXK131094 SHG131074:SHG131094 SRC131074:SRC131094 TAY131074:TAY131094 TKU131074:TKU131094 TUQ131074:TUQ131094 UEM131074:UEM131094 UOI131074:UOI131094 UYE131074:UYE131094 VIA131074:VIA131094 VRW131074:VRW131094 WBS131074:WBS131094 WLO131074:WLO131094 WVK131074:WVK131094 C196610:C196630 IY196610:IY196630 SU196610:SU196630 ACQ196610:ACQ196630 AMM196610:AMM196630 AWI196610:AWI196630 BGE196610:BGE196630 BQA196610:BQA196630 BZW196610:BZW196630 CJS196610:CJS196630 CTO196610:CTO196630 DDK196610:DDK196630 DNG196610:DNG196630 DXC196610:DXC196630 EGY196610:EGY196630 EQU196610:EQU196630 FAQ196610:FAQ196630 FKM196610:FKM196630 FUI196610:FUI196630 GEE196610:GEE196630 GOA196610:GOA196630 GXW196610:GXW196630 HHS196610:HHS196630 HRO196610:HRO196630 IBK196610:IBK196630 ILG196610:ILG196630 IVC196610:IVC196630 JEY196610:JEY196630 JOU196610:JOU196630 JYQ196610:JYQ196630 KIM196610:KIM196630 KSI196610:KSI196630 LCE196610:LCE196630 LMA196610:LMA196630 LVW196610:LVW196630 MFS196610:MFS196630 MPO196610:MPO196630 MZK196610:MZK196630 NJG196610:NJG196630 NTC196610:NTC196630 OCY196610:OCY196630 OMU196610:OMU196630 OWQ196610:OWQ196630 PGM196610:PGM196630 PQI196610:PQI196630 QAE196610:QAE196630 QKA196610:QKA196630 QTW196610:QTW196630 RDS196610:RDS196630 RNO196610:RNO196630 RXK196610:RXK196630 SHG196610:SHG196630 SRC196610:SRC196630 TAY196610:TAY196630 TKU196610:TKU196630 TUQ196610:TUQ196630 UEM196610:UEM196630 UOI196610:UOI196630 UYE196610:UYE196630 VIA196610:VIA196630 VRW196610:VRW196630 WBS196610:WBS196630 WLO196610:WLO196630 WVK196610:WVK196630 C262146:C262166 IY262146:IY262166 SU262146:SU262166 ACQ262146:ACQ262166 AMM262146:AMM262166 AWI262146:AWI262166 BGE262146:BGE262166 BQA262146:BQA262166 BZW262146:BZW262166 CJS262146:CJS262166 CTO262146:CTO262166 DDK262146:DDK262166 DNG262146:DNG262166 DXC262146:DXC262166 EGY262146:EGY262166 EQU262146:EQU262166 FAQ262146:FAQ262166 FKM262146:FKM262166 FUI262146:FUI262166 GEE262146:GEE262166 GOA262146:GOA262166 GXW262146:GXW262166 HHS262146:HHS262166 HRO262146:HRO262166 IBK262146:IBK262166 ILG262146:ILG262166 IVC262146:IVC262166 JEY262146:JEY262166 JOU262146:JOU262166 JYQ262146:JYQ262166 KIM262146:KIM262166 KSI262146:KSI262166 LCE262146:LCE262166 LMA262146:LMA262166 LVW262146:LVW262166 MFS262146:MFS262166 MPO262146:MPO262166 MZK262146:MZK262166 NJG262146:NJG262166 NTC262146:NTC262166 OCY262146:OCY262166 OMU262146:OMU262166 OWQ262146:OWQ262166 PGM262146:PGM262166 PQI262146:PQI262166 QAE262146:QAE262166 QKA262146:QKA262166 QTW262146:QTW262166 RDS262146:RDS262166 RNO262146:RNO262166 RXK262146:RXK262166 SHG262146:SHG262166 SRC262146:SRC262166 TAY262146:TAY262166 TKU262146:TKU262166 TUQ262146:TUQ262166 UEM262146:UEM262166 UOI262146:UOI262166 UYE262146:UYE262166 VIA262146:VIA262166 VRW262146:VRW262166 WBS262146:WBS262166 WLO262146:WLO262166 WVK262146:WVK262166 C327682:C327702 IY327682:IY327702 SU327682:SU327702 ACQ327682:ACQ327702 AMM327682:AMM327702 AWI327682:AWI327702 BGE327682:BGE327702 BQA327682:BQA327702 BZW327682:BZW327702 CJS327682:CJS327702 CTO327682:CTO327702 DDK327682:DDK327702 DNG327682:DNG327702 DXC327682:DXC327702 EGY327682:EGY327702 EQU327682:EQU327702 FAQ327682:FAQ327702 FKM327682:FKM327702 FUI327682:FUI327702 GEE327682:GEE327702 GOA327682:GOA327702 GXW327682:GXW327702 HHS327682:HHS327702 HRO327682:HRO327702 IBK327682:IBK327702 ILG327682:ILG327702 IVC327682:IVC327702 JEY327682:JEY327702 JOU327682:JOU327702 JYQ327682:JYQ327702 KIM327682:KIM327702 KSI327682:KSI327702 LCE327682:LCE327702 LMA327682:LMA327702 LVW327682:LVW327702 MFS327682:MFS327702 MPO327682:MPO327702 MZK327682:MZK327702 NJG327682:NJG327702 NTC327682:NTC327702 OCY327682:OCY327702 OMU327682:OMU327702 OWQ327682:OWQ327702 PGM327682:PGM327702 PQI327682:PQI327702 QAE327682:QAE327702 QKA327682:QKA327702 QTW327682:QTW327702 RDS327682:RDS327702 RNO327682:RNO327702 RXK327682:RXK327702 SHG327682:SHG327702 SRC327682:SRC327702 TAY327682:TAY327702 TKU327682:TKU327702 TUQ327682:TUQ327702 UEM327682:UEM327702 UOI327682:UOI327702 UYE327682:UYE327702 VIA327682:VIA327702 VRW327682:VRW327702 WBS327682:WBS327702 WLO327682:WLO327702 WVK327682:WVK327702 C393218:C393238 IY393218:IY393238 SU393218:SU393238 ACQ393218:ACQ393238 AMM393218:AMM393238 AWI393218:AWI393238 BGE393218:BGE393238 BQA393218:BQA393238 BZW393218:BZW393238 CJS393218:CJS393238 CTO393218:CTO393238 DDK393218:DDK393238 DNG393218:DNG393238 DXC393218:DXC393238 EGY393218:EGY393238 EQU393218:EQU393238 FAQ393218:FAQ393238 FKM393218:FKM393238 FUI393218:FUI393238 GEE393218:GEE393238 GOA393218:GOA393238 GXW393218:GXW393238 HHS393218:HHS393238 HRO393218:HRO393238 IBK393218:IBK393238 ILG393218:ILG393238 IVC393218:IVC393238 JEY393218:JEY393238 JOU393218:JOU393238 JYQ393218:JYQ393238 KIM393218:KIM393238 KSI393218:KSI393238 LCE393218:LCE393238 LMA393218:LMA393238 LVW393218:LVW393238 MFS393218:MFS393238 MPO393218:MPO393238 MZK393218:MZK393238 NJG393218:NJG393238 NTC393218:NTC393238 OCY393218:OCY393238 OMU393218:OMU393238 OWQ393218:OWQ393238 PGM393218:PGM393238 PQI393218:PQI393238 QAE393218:QAE393238 QKA393218:QKA393238 QTW393218:QTW393238 RDS393218:RDS393238 RNO393218:RNO393238 RXK393218:RXK393238 SHG393218:SHG393238 SRC393218:SRC393238 TAY393218:TAY393238 TKU393218:TKU393238 TUQ393218:TUQ393238 UEM393218:UEM393238 UOI393218:UOI393238 UYE393218:UYE393238 VIA393218:VIA393238 VRW393218:VRW393238 WBS393218:WBS393238 WLO393218:WLO393238 WVK393218:WVK393238 C458754:C458774 IY458754:IY458774 SU458754:SU458774 ACQ458754:ACQ458774 AMM458754:AMM458774 AWI458754:AWI458774 BGE458754:BGE458774 BQA458754:BQA458774 BZW458754:BZW458774 CJS458754:CJS458774 CTO458754:CTO458774 DDK458754:DDK458774 DNG458754:DNG458774 DXC458754:DXC458774 EGY458754:EGY458774 EQU458754:EQU458774 FAQ458754:FAQ458774 FKM458754:FKM458774 FUI458754:FUI458774 GEE458754:GEE458774 GOA458754:GOA458774 GXW458754:GXW458774 HHS458754:HHS458774 HRO458754:HRO458774 IBK458754:IBK458774 ILG458754:ILG458774 IVC458754:IVC458774 JEY458754:JEY458774 JOU458754:JOU458774 JYQ458754:JYQ458774 KIM458754:KIM458774 KSI458754:KSI458774 LCE458754:LCE458774 LMA458754:LMA458774 LVW458754:LVW458774 MFS458754:MFS458774 MPO458754:MPO458774 MZK458754:MZK458774 NJG458754:NJG458774 NTC458754:NTC458774 OCY458754:OCY458774 OMU458754:OMU458774 OWQ458754:OWQ458774 PGM458754:PGM458774 PQI458754:PQI458774 QAE458754:QAE458774 QKA458754:QKA458774 QTW458754:QTW458774 RDS458754:RDS458774 RNO458754:RNO458774 RXK458754:RXK458774 SHG458754:SHG458774 SRC458754:SRC458774 TAY458754:TAY458774 TKU458754:TKU458774 TUQ458754:TUQ458774 UEM458754:UEM458774 UOI458754:UOI458774 UYE458754:UYE458774 VIA458754:VIA458774 VRW458754:VRW458774 WBS458754:WBS458774 WLO458754:WLO458774 WVK458754:WVK458774 C524290:C524310 IY524290:IY524310 SU524290:SU524310 ACQ524290:ACQ524310 AMM524290:AMM524310 AWI524290:AWI524310 BGE524290:BGE524310 BQA524290:BQA524310 BZW524290:BZW524310 CJS524290:CJS524310 CTO524290:CTO524310 DDK524290:DDK524310 DNG524290:DNG524310 DXC524290:DXC524310 EGY524290:EGY524310 EQU524290:EQU524310 FAQ524290:FAQ524310 FKM524290:FKM524310 FUI524290:FUI524310 GEE524290:GEE524310 GOA524290:GOA524310 GXW524290:GXW524310 HHS524290:HHS524310 HRO524290:HRO524310 IBK524290:IBK524310 ILG524290:ILG524310 IVC524290:IVC524310 JEY524290:JEY524310 JOU524290:JOU524310 JYQ524290:JYQ524310 KIM524290:KIM524310 KSI524290:KSI524310 LCE524290:LCE524310 LMA524290:LMA524310 LVW524290:LVW524310 MFS524290:MFS524310 MPO524290:MPO524310 MZK524290:MZK524310 NJG524290:NJG524310 NTC524290:NTC524310 OCY524290:OCY524310 OMU524290:OMU524310 OWQ524290:OWQ524310 PGM524290:PGM524310 PQI524290:PQI524310 QAE524290:QAE524310 QKA524290:QKA524310 QTW524290:QTW524310 RDS524290:RDS524310 RNO524290:RNO524310 RXK524290:RXK524310 SHG524290:SHG524310 SRC524290:SRC524310 TAY524290:TAY524310 TKU524290:TKU524310 TUQ524290:TUQ524310 UEM524290:UEM524310 UOI524290:UOI524310 UYE524290:UYE524310 VIA524290:VIA524310 VRW524290:VRW524310 WBS524290:WBS524310 WLO524290:WLO524310 WVK524290:WVK524310 C589826:C589846 IY589826:IY589846 SU589826:SU589846 ACQ589826:ACQ589846 AMM589826:AMM589846 AWI589826:AWI589846 BGE589826:BGE589846 BQA589826:BQA589846 BZW589826:BZW589846 CJS589826:CJS589846 CTO589826:CTO589846 DDK589826:DDK589846 DNG589826:DNG589846 DXC589826:DXC589846 EGY589826:EGY589846 EQU589826:EQU589846 FAQ589826:FAQ589846 FKM589826:FKM589846 FUI589826:FUI589846 GEE589826:GEE589846 GOA589826:GOA589846 GXW589826:GXW589846 HHS589826:HHS589846 HRO589826:HRO589846 IBK589826:IBK589846 ILG589826:ILG589846 IVC589826:IVC589846 JEY589826:JEY589846 JOU589826:JOU589846 JYQ589826:JYQ589846 KIM589826:KIM589846 KSI589826:KSI589846 LCE589826:LCE589846 LMA589826:LMA589846 LVW589826:LVW589846 MFS589826:MFS589846 MPO589826:MPO589846 MZK589826:MZK589846 NJG589826:NJG589846 NTC589826:NTC589846 OCY589826:OCY589846 OMU589826:OMU589846 OWQ589826:OWQ589846 PGM589826:PGM589846 PQI589826:PQI589846 QAE589826:QAE589846 QKA589826:QKA589846 QTW589826:QTW589846 RDS589826:RDS589846 RNO589826:RNO589846 RXK589826:RXK589846 SHG589826:SHG589846 SRC589826:SRC589846 TAY589826:TAY589846 TKU589826:TKU589846 TUQ589826:TUQ589846 UEM589826:UEM589846 UOI589826:UOI589846 UYE589826:UYE589846 VIA589826:VIA589846 VRW589826:VRW589846 WBS589826:WBS589846 WLO589826:WLO589846 WVK589826:WVK589846 C655362:C655382 IY655362:IY655382 SU655362:SU655382 ACQ655362:ACQ655382 AMM655362:AMM655382 AWI655362:AWI655382 BGE655362:BGE655382 BQA655362:BQA655382 BZW655362:BZW655382 CJS655362:CJS655382 CTO655362:CTO655382 DDK655362:DDK655382 DNG655362:DNG655382 DXC655362:DXC655382 EGY655362:EGY655382 EQU655362:EQU655382 FAQ655362:FAQ655382 FKM655362:FKM655382 FUI655362:FUI655382 GEE655362:GEE655382 GOA655362:GOA655382 GXW655362:GXW655382 HHS655362:HHS655382 HRO655362:HRO655382 IBK655362:IBK655382 ILG655362:ILG655382 IVC655362:IVC655382 JEY655362:JEY655382 JOU655362:JOU655382 JYQ655362:JYQ655382 KIM655362:KIM655382 KSI655362:KSI655382 LCE655362:LCE655382 LMA655362:LMA655382 LVW655362:LVW655382 MFS655362:MFS655382 MPO655362:MPO655382 MZK655362:MZK655382 NJG655362:NJG655382 NTC655362:NTC655382 OCY655362:OCY655382 OMU655362:OMU655382 OWQ655362:OWQ655382 PGM655362:PGM655382 PQI655362:PQI655382 QAE655362:QAE655382 QKA655362:QKA655382 QTW655362:QTW655382 RDS655362:RDS655382 RNO655362:RNO655382 RXK655362:RXK655382 SHG655362:SHG655382 SRC655362:SRC655382 TAY655362:TAY655382 TKU655362:TKU655382 TUQ655362:TUQ655382 UEM655362:UEM655382 UOI655362:UOI655382 UYE655362:UYE655382 VIA655362:VIA655382 VRW655362:VRW655382 WBS655362:WBS655382 WLO655362:WLO655382 WVK655362:WVK655382 C720898:C720918 IY720898:IY720918 SU720898:SU720918 ACQ720898:ACQ720918 AMM720898:AMM720918 AWI720898:AWI720918 BGE720898:BGE720918 BQA720898:BQA720918 BZW720898:BZW720918 CJS720898:CJS720918 CTO720898:CTO720918 DDK720898:DDK720918 DNG720898:DNG720918 DXC720898:DXC720918 EGY720898:EGY720918 EQU720898:EQU720918 FAQ720898:FAQ720918 FKM720898:FKM720918 FUI720898:FUI720918 GEE720898:GEE720918 GOA720898:GOA720918 GXW720898:GXW720918 HHS720898:HHS720918 HRO720898:HRO720918 IBK720898:IBK720918 ILG720898:ILG720918 IVC720898:IVC720918 JEY720898:JEY720918 JOU720898:JOU720918 JYQ720898:JYQ720918 KIM720898:KIM720918 KSI720898:KSI720918 LCE720898:LCE720918 LMA720898:LMA720918 LVW720898:LVW720918 MFS720898:MFS720918 MPO720898:MPO720918 MZK720898:MZK720918 NJG720898:NJG720918 NTC720898:NTC720918 OCY720898:OCY720918 OMU720898:OMU720918 OWQ720898:OWQ720918 PGM720898:PGM720918 PQI720898:PQI720918 QAE720898:QAE720918 QKA720898:QKA720918 QTW720898:QTW720918 RDS720898:RDS720918 RNO720898:RNO720918 RXK720898:RXK720918 SHG720898:SHG720918 SRC720898:SRC720918 TAY720898:TAY720918 TKU720898:TKU720918 TUQ720898:TUQ720918 UEM720898:UEM720918 UOI720898:UOI720918 UYE720898:UYE720918 VIA720898:VIA720918 VRW720898:VRW720918 WBS720898:WBS720918 WLO720898:WLO720918 WVK720898:WVK720918 C786434:C786454 IY786434:IY786454 SU786434:SU786454 ACQ786434:ACQ786454 AMM786434:AMM786454 AWI786434:AWI786454 BGE786434:BGE786454 BQA786434:BQA786454 BZW786434:BZW786454 CJS786434:CJS786454 CTO786434:CTO786454 DDK786434:DDK786454 DNG786434:DNG786454 DXC786434:DXC786454 EGY786434:EGY786454 EQU786434:EQU786454 FAQ786434:FAQ786454 FKM786434:FKM786454 FUI786434:FUI786454 GEE786434:GEE786454 GOA786434:GOA786454 GXW786434:GXW786454 HHS786434:HHS786454 HRO786434:HRO786454 IBK786434:IBK786454 ILG786434:ILG786454 IVC786434:IVC786454 JEY786434:JEY786454 JOU786434:JOU786454 JYQ786434:JYQ786454 KIM786434:KIM786454 KSI786434:KSI786454 LCE786434:LCE786454 LMA786434:LMA786454 LVW786434:LVW786454 MFS786434:MFS786454 MPO786434:MPO786454 MZK786434:MZK786454 NJG786434:NJG786454 NTC786434:NTC786454 OCY786434:OCY786454 OMU786434:OMU786454 OWQ786434:OWQ786454 PGM786434:PGM786454 PQI786434:PQI786454 QAE786434:QAE786454 QKA786434:QKA786454 QTW786434:QTW786454 RDS786434:RDS786454 RNO786434:RNO786454 RXK786434:RXK786454 SHG786434:SHG786454 SRC786434:SRC786454 TAY786434:TAY786454 TKU786434:TKU786454 TUQ786434:TUQ786454 UEM786434:UEM786454 UOI786434:UOI786454 UYE786434:UYE786454 VIA786434:VIA786454 VRW786434:VRW786454 WBS786434:WBS786454 WLO786434:WLO786454 WVK786434:WVK786454 C851970:C851990 IY851970:IY851990 SU851970:SU851990 ACQ851970:ACQ851990 AMM851970:AMM851990 AWI851970:AWI851990 BGE851970:BGE851990 BQA851970:BQA851990 BZW851970:BZW851990 CJS851970:CJS851990 CTO851970:CTO851990 DDK851970:DDK851990 DNG851970:DNG851990 DXC851970:DXC851990 EGY851970:EGY851990 EQU851970:EQU851990 FAQ851970:FAQ851990 FKM851970:FKM851990 FUI851970:FUI851990 GEE851970:GEE851990 GOA851970:GOA851990 GXW851970:GXW851990 HHS851970:HHS851990 HRO851970:HRO851990 IBK851970:IBK851990 ILG851970:ILG851990 IVC851970:IVC851990 JEY851970:JEY851990 JOU851970:JOU851990 JYQ851970:JYQ851990 KIM851970:KIM851990 KSI851970:KSI851990 LCE851970:LCE851990 LMA851970:LMA851990 LVW851970:LVW851990 MFS851970:MFS851990 MPO851970:MPO851990 MZK851970:MZK851990 NJG851970:NJG851990 NTC851970:NTC851990 OCY851970:OCY851990 OMU851970:OMU851990 OWQ851970:OWQ851990 PGM851970:PGM851990 PQI851970:PQI851990 QAE851970:QAE851990 QKA851970:QKA851990 QTW851970:QTW851990 RDS851970:RDS851990 RNO851970:RNO851990 RXK851970:RXK851990 SHG851970:SHG851990 SRC851970:SRC851990 TAY851970:TAY851990 TKU851970:TKU851990 TUQ851970:TUQ851990 UEM851970:UEM851990 UOI851970:UOI851990 UYE851970:UYE851990 VIA851970:VIA851990 VRW851970:VRW851990 WBS851970:WBS851990 WLO851970:WLO851990 WVK851970:WVK851990 C917506:C917526 IY917506:IY917526 SU917506:SU917526 ACQ917506:ACQ917526 AMM917506:AMM917526 AWI917506:AWI917526 BGE917506:BGE917526 BQA917506:BQA917526 BZW917506:BZW917526 CJS917506:CJS917526 CTO917506:CTO917526 DDK917506:DDK917526 DNG917506:DNG917526 DXC917506:DXC917526 EGY917506:EGY917526 EQU917506:EQU917526 FAQ917506:FAQ917526 FKM917506:FKM917526 FUI917506:FUI917526 GEE917506:GEE917526 GOA917506:GOA917526 GXW917506:GXW917526 HHS917506:HHS917526 HRO917506:HRO917526 IBK917506:IBK917526 ILG917506:ILG917526 IVC917506:IVC917526 JEY917506:JEY917526 JOU917506:JOU917526 JYQ917506:JYQ917526 KIM917506:KIM917526 KSI917506:KSI917526 LCE917506:LCE917526 LMA917506:LMA917526 LVW917506:LVW917526 MFS917506:MFS917526 MPO917506:MPO917526 MZK917506:MZK917526 NJG917506:NJG917526 NTC917506:NTC917526 OCY917506:OCY917526 OMU917506:OMU917526 OWQ917506:OWQ917526 PGM917506:PGM917526 PQI917506:PQI917526 QAE917506:QAE917526 QKA917506:QKA917526 QTW917506:QTW917526 RDS917506:RDS917526 RNO917506:RNO917526 RXK917506:RXK917526 SHG917506:SHG917526 SRC917506:SRC917526 TAY917506:TAY917526 TKU917506:TKU917526 TUQ917506:TUQ917526 UEM917506:UEM917526 UOI917506:UOI917526 UYE917506:UYE917526 VIA917506:VIA917526 VRW917506:VRW917526 WBS917506:WBS917526 WLO917506:WLO917526 WVK917506:WVK917526 C983042:C983062 IY983042:IY983062 SU983042:SU983062 ACQ983042:ACQ983062 AMM983042:AMM983062 AWI983042:AWI983062 BGE983042:BGE983062 BQA983042:BQA983062 BZW983042:BZW983062 CJS983042:CJS983062 CTO983042:CTO983062 DDK983042:DDK983062 DNG983042:DNG983062 DXC983042:DXC983062 EGY983042:EGY983062 EQU983042:EQU983062 FAQ983042:FAQ983062 FKM983042:FKM983062 FUI983042:FUI983062 GEE983042:GEE983062 GOA983042:GOA983062 GXW983042:GXW983062 HHS983042:HHS983062 HRO983042:HRO983062 IBK983042:IBK983062 ILG983042:ILG983062 IVC983042:IVC983062 JEY983042:JEY983062 JOU983042:JOU983062 JYQ983042:JYQ983062 KIM983042:KIM983062 KSI983042:KSI983062 LCE983042:LCE983062 LMA983042:LMA983062 LVW983042:LVW983062 MFS983042:MFS983062 MPO983042:MPO983062 MZK983042:MZK983062 NJG983042:NJG983062 NTC983042:NTC983062 OCY983042:OCY983062 OMU983042:OMU983062 OWQ983042:OWQ983062 PGM983042:PGM983062 PQI983042:PQI983062 QAE983042:QAE983062 QKA983042:QKA983062 QTW983042:QTW983062 RDS983042:RDS983062 RNO983042:RNO983062 RXK983042:RXK983062 SHG983042:SHG983062 SRC983042:SRC983062 TAY983042:TAY983062 TKU983042:TKU983062 TUQ983042:TUQ983062 UEM983042:UEM983062 UOI983042:UOI983062 UYE983042:UYE983062 VIA983042:VIA983062 VRW983042:VRW983062 WBS983042:WBS983062 WLO983042:WLO983062 WVK983042:WVK983062" xr:uid="{D096C82C-25A0-4B75-BDCE-F858A20BA6C7}">
      <formula1>TiposEnsayos</formula1>
    </dataValidation>
  </dataValidations>
  <printOptions horizontalCentered="1"/>
  <pageMargins left="0.15748031496062992" right="0.15748031496062992" top="0.78740157480314965" bottom="0.78740157480314965" header="0.59055118110236227" footer="0.59055118110236227"/>
  <pageSetup paperSize="130" scale="64" orientation="landscape" r:id="rId1"/>
  <headerFooter alignWithMargins="0">
    <oddHeader>&amp;CAnálisis de Costos - Área de Estudios Previos</oddHeader>
    <oddFooter>&amp;L16/02/2010</oddFooter>
  </headerFooter>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AAA89-EE44-4254-94B7-172E367A67C8}">
  <dimension ref="A1:G37"/>
  <sheetViews>
    <sheetView view="pageBreakPreview" topLeftCell="A19" zoomScale="55" zoomScaleNormal="100" zoomScaleSheetLayoutView="55" workbookViewId="0">
      <selection activeCell="E29" sqref="E29:E34"/>
    </sheetView>
  </sheetViews>
  <sheetFormatPr baseColWidth="10" defaultColWidth="12.7265625" defaultRowHeight="14.5"/>
  <cols>
    <col min="1" max="1" width="17.81640625" style="316" customWidth="1"/>
    <col min="2" max="2" width="91.54296875" style="316" customWidth="1"/>
    <col min="3" max="3" width="13.453125" style="316" customWidth="1"/>
    <col min="4" max="4" width="13.26953125" style="316" bestFit="1" customWidth="1"/>
    <col min="5" max="5" width="20" style="316" bestFit="1" customWidth="1"/>
    <col min="6" max="6" width="17.81640625" style="316" bestFit="1" customWidth="1"/>
    <col min="7" max="7" width="41.453125" style="316" customWidth="1"/>
    <col min="8" max="16384" width="12.7265625" style="316"/>
  </cols>
  <sheetData>
    <row r="1" spans="1:7" ht="49" customHeight="1">
      <c r="A1" s="460"/>
      <c r="B1" s="461" t="s">
        <v>430</v>
      </c>
      <c r="C1" s="461"/>
      <c r="D1" s="461"/>
      <c r="E1" s="461"/>
      <c r="F1" s="461"/>
      <c r="G1" s="461"/>
    </row>
    <row r="2" spans="1:7" ht="15" customHeight="1">
      <c r="A2" s="460"/>
      <c r="B2" s="461"/>
      <c r="C2" s="461"/>
      <c r="D2" s="461"/>
      <c r="E2" s="461"/>
      <c r="F2" s="461"/>
      <c r="G2" s="461"/>
    </row>
    <row r="3" spans="1:7">
      <c r="A3" s="460"/>
      <c r="B3" s="462" t="s">
        <v>431</v>
      </c>
      <c r="C3" s="462"/>
      <c r="D3" s="462"/>
      <c r="E3" s="462"/>
      <c r="F3" s="462"/>
      <c r="G3" s="462"/>
    </row>
    <row r="4" spans="1:7">
      <c r="A4" s="427" t="s">
        <v>361</v>
      </c>
      <c r="B4" s="427"/>
      <c r="C4" s="427"/>
      <c r="D4" s="427"/>
      <c r="E4" s="427"/>
      <c r="F4" s="314" t="s">
        <v>362</v>
      </c>
      <c r="G4" s="314">
        <v>755</v>
      </c>
    </row>
    <row r="5" spans="1:7">
      <c r="A5" s="314" t="s">
        <v>363</v>
      </c>
      <c r="B5" s="314" t="s">
        <v>97</v>
      </c>
      <c r="C5" s="314" t="s">
        <v>364</v>
      </c>
      <c r="D5" s="317" t="s">
        <v>126</v>
      </c>
      <c r="E5" s="314" t="s">
        <v>365</v>
      </c>
      <c r="F5" s="314" t="s">
        <v>366</v>
      </c>
      <c r="G5" s="318" t="s">
        <v>367</v>
      </c>
    </row>
    <row r="6" spans="1:7" ht="28" customHeight="1">
      <c r="A6" s="427"/>
      <c r="B6" s="457" t="s">
        <v>432</v>
      </c>
      <c r="C6" s="457"/>
      <c r="D6" s="457"/>
      <c r="E6" s="457"/>
      <c r="F6" s="457"/>
      <c r="G6" s="463">
        <f>F7++F8+F9+F10+F11+F12+F13+F14+F15</f>
        <v>0</v>
      </c>
    </row>
    <row r="7" spans="1:7">
      <c r="A7" s="427"/>
      <c r="B7" s="319" t="s">
        <v>433</v>
      </c>
      <c r="C7" s="320" t="s">
        <v>434</v>
      </c>
      <c r="D7" s="320">
        <v>7</v>
      </c>
      <c r="E7" s="320"/>
      <c r="F7" s="321">
        <f t="shared" ref="F7:F15" si="0">D7*E7</f>
        <v>0</v>
      </c>
      <c r="G7" s="451"/>
    </row>
    <row r="8" spans="1:7">
      <c r="A8" s="427"/>
      <c r="B8" s="319" t="s">
        <v>435</v>
      </c>
      <c r="C8" s="320" t="s">
        <v>436</v>
      </c>
      <c r="D8" s="320">
        <v>15</v>
      </c>
      <c r="E8" s="320"/>
      <c r="F8" s="321">
        <f t="shared" si="0"/>
        <v>0</v>
      </c>
      <c r="G8" s="451"/>
    </row>
    <row r="9" spans="1:7">
      <c r="A9" s="427"/>
      <c r="B9" s="319" t="s">
        <v>437</v>
      </c>
      <c r="C9" s="320" t="s">
        <v>434</v>
      </c>
      <c r="D9" s="320">
        <v>750</v>
      </c>
      <c r="E9" s="320"/>
      <c r="F9" s="321">
        <f t="shared" si="0"/>
        <v>0</v>
      </c>
      <c r="G9" s="451"/>
    </row>
    <row r="10" spans="1:7">
      <c r="A10" s="427"/>
      <c r="B10" s="322" t="s">
        <v>438</v>
      </c>
      <c r="C10" s="320" t="s">
        <v>434</v>
      </c>
      <c r="D10" s="320">
        <v>14</v>
      </c>
      <c r="E10" s="320"/>
      <c r="F10" s="321">
        <f t="shared" si="0"/>
        <v>0</v>
      </c>
      <c r="G10" s="451"/>
    </row>
    <row r="11" spans="1:7">
      <c r="A11" s="427"/>
      <c r="B11" s="323" t="s">
        <v>439</v>
      </c>
      <c r="C11" s="320" t="s">
        <v>434</v>
      </c>
      <c r="D11" s="320">
        <v>7</v>
      </c>
      <c r="E11" s="320"/>
      <c r="F11" s="321">
        <f t="shared" si="0"/>
        <v>0</v>
      </c>
      <c r="G11" s="451"/>
    </row>
    <row r="12" spans="1:7">
      <c r="A12" s="427"/>
      <c r="B12" s="319" t="s">
        <v>440</v>
      </c>
      <c r="C12" s="320" t="s">
        <v>434</v>
      </c>
      <c r="D12" s="320">
        <v>1</v>
      </c>
      <c r="E12" s="320"/>
      <c r="F12" s="321">
        <f t="shared" si="0"/>
        <v>0</v>
      </c>
      <c r="G12" s="451"/>
    </row>
    <row r="13" spans="1:7">
      <c r="A13" s="427"/>
      <c r="B13" s="319" t="s">
        <v>441</v>
      </c>
      <c r="C13" s="320" t="s">
        <v>434</v>
      </c>
      <c r="D13" s="320">
        <v>750</v>
      </c>
      <c r="E13" s="320"/>
      <c r="F13" s="321">
        <f t="shared" si="0"/>
        <v>0</v>
      </c>
      <c r="G13" s="451"/>
    </row>
    <row r="14" spans="1:7">
      <c r="A14" s="427"/>
      <c r="B14" s="319" t="s">
        <v>442</v>
      </c>
      <c r="C14" s="320" t="s">
        <v>443</v>
      </c>
      <c r="D14" s="320">
        <v>378</v>
      </c>
      <c r="E14" s="320"/>
      <c r="F14" s="321">
        <f t="shared" si="0"/>
        <v>0</v>
      </c>
      <c r="G14" s="451"/>
    </row>
    <row r="15" spans="1:7">
      <c r="A15" s="427"/>
      <c r="B15" s="319" t="s">
        <v>444</v>
      </c>
      <c r="C15" s="320" t="s">
        <v>445</v>
      </c>
      <c r="D15" s="320">
        <v>2</v>
      </c>
      <c r="E15" s="320"/>
      <c r="F15" s="321">
        <f t="shared" si="0"/>
        <v>0</v>
      </c>
      <c r="G15" s="451"/>
    </row>
    <row r="16" spans="1:7" ht="25">
      <c r="A16" s="427"/>
      <c r="B16" s="319" t="s">
        <v>446</v>
      </c>
      <c r="C16" s="320"/>
      <c r="D16" s="320"/>
      <c r="E16" s="320"/>
      <c r="F16" s="321" t="s">
        <v>447</v>
      </c>
      <c r="G16" s="451"/>
    </row>
    <row r="17" spans="1:7" ht="25">
      <c r="A17" s="427"/>
      <c r="B17" s="319" t="s">
        <v>448</v>
      </c>
      <c r="C17" s="320"/>
      <c r="D17" s="320"/>
      <c r="E17" s="320"/>
      <c r="F17" s="321" t="s">
        <v>447</v>
      </c>
      <c r="G17" s="451"/>
    </row>
    <row r="18" spans="1:7" ht="28" customHeight="1">
      <c r="A18" s="427"/>
      <c r="B18" s="457" t="s">
        <v>449</v>
      </c>
      <c r="C18" s="457"/>
      <c r="D18" s="457"/>
      <c r="E18" s="457"/>
      <c r="F18" s="457"/>
      <c r="G18" s="458">
        <f>F19+F20+F21+F22+F23+F24+F25</f>
        <v>0</v>
      </c>
    </row>
    <row r="19" spans="1:7">
      <c r="A19" s="427"/>
      <c r="B19" s="319" t="s">
        <v>450</v>
      </c>
      <c r="C19" s="320" t="s">
        <v>451</v>
      </c>
      <c r="D19" s="320">
        <v>10</v>
      </c>
      <c r="E19" s="320"/>
      <c r="F19" s="321">
        <f t="shared" ref="F19:F25" si="1">D19*E19</f>
        <v>0</v>
      </c>
      <c r="G19" s="425"/>
    </row>
    <row r="20" spans="1:7">
      <c r="A20" s="427"/>
      <c r="B20" s="319" t="s">
        <v>452</v>
      </c>
      <c r="C20" s="320" t="s">
        <v>434</v>
      </c>
      <c r="D20" s="320">
        <v>7</v>
      </c>
      <c r="E20" s="320"/>
      <c r="F20" s="321">
        <f t="shared" si="1"/>
        <v>0</v>
      </c>
      <c r="G20" s="425"/>
    </row>
    <row r="21" spans="1:7">
      <c r="A21" s="427"/>
      <c r="B21" s="323" t="s">
        <v>439</v>
      </c>
      <c r="C21" s="320" t="s">
        <v>434</v>
      </c>
      <c r="D21" s="320">
        <v>7</v>
      </c>
      <c r="E21" s="320"/>
      <c r="F21" s="321">
        <f t="shared" si="1"/>
        <v>0</v>
      </c>
      <c r="G21" s="425"/>
    </row>
    <row r="22" spans="1:7">
      <c r="A22" s="427"/>
      <c r="B22" s="319" t="s">
        <v>435</v>
      </c>
      <c r="C22" s="320" t="s">
        <v>436</v>
      </c>
      <c r="D22" s="320">
        <v>15</v>
      </c>
      <c r="E22" s="320"/>
      <c r="F22" s="321">
        <f t="shared" si="1"/>
        <v>0</v>
      </c>
      <c r="G22" s="425"/>
    </row>
    <row r="23" spans="1:7">
      <c r="A23" s="427"/>
      <c r="B23" s="319" t="s">
        <v>437</v>
      </c>
      <c r="C23" s="320" t="s">
        <v>434</v>
      </c>
      <c r="D23" s="320">
        <v>750</v>
      </c>
      <c r="E23" s="320"/>
      <c r="F23" s="321">
        <f t="shared" si="1"/>
        <v>0</v>
      </c>
      <c r="G23" s="425"/>
    </row>
    <row r="24" spans="1:7">
      <c r="A24" s="427"/>
      <c r="B24" s="319" t="s">
        <v>453</v>
      </c>
      <c r="C24" s="320" t="s">
        <v>434</v>
      </c>
      <c r="D24" s="320">
        <v>2</v>
      </c>
      <c r="E24" s="320"/>
      <c r="F24" s="321">
        <f t="shared" si="1"/>
        <v>0</v>
      </c>
      <c r="G24" s="425"/>
    </row>
    <row r="25" spans="1:7">
      <c r="A25" s="427"/>
      <c r="B25" s="319" t="s">
        <v>454</v>
      </c>
      <c r="C25" s="320" t="s">
        <v>455</v>
      </c>
      <c r="D25" s="320">
        <v>20</v>
      </c>
      <c r="E25" s="320"/>
      <c r="F25" s="321">
        <f t="shared" si="1"/>
        <v>0</v>
      </c>
      <c r="G25" s="425"/>
    </row>
    <row r="26" spans="1:7" ht="25">
      <c r="A26" s="427"/>
      <c r="B26" s="319" t="s">
        <v>446</v>
      </c>
      <c r="C26" s="320"/>
      <c r="D26" s="320"/>
      <c r="E26" s="320"/>
      <c r="F26" s="321" t="s">
        <v>447</v>
      </c>
      <c r="G26" s="425"/>
    </row>
    <row r="27" spans="1:7" ht="25">
      <c r="A27" s="427"/>
      <c r="B27" s="319" t="s">
        <v>448</v>
      </c>
      <c r="C27" s="320"/>
      <c r="D27" s="320"/>
      <c r="E27" s="320"/>
      <c r="F27" s="321" t="s">
        <v>447</v>
      </c>
      <c r="G27" s="425"/>
    </row>
    <row r="28" spans="1:7" ht="29.15" customHeight="1">
      <c r="A28" s="427"/>
      <c r="B28" s="457" t="s">
        <v>456</v>
      </c>
      <c r="C28" s="457"/>
      <c r="D28" s="457"/>
      <c r="E28" s="457"/>
      <c r="F28" s="457"/>
      <c r="G28" s="459">
        <f>F29+F30+F31+F32+F33</f>
        <v>0</v>
      </c>
    </row>
    <row r="29" spans="1:7">
      <c r="A29" s="427"/>
      <c r="B29" s="319" t="s">
        <v>457</v>
      </c>
      <c r="C29" s="324" t="s">
        <v>434</v>
      </c>
      <c r="D29" s="324">
        <v>10</v>
      </c>
      <c r="E29" s="325"/>
      <c r="F29" s="326">
        <f>D29*E29</f>
        <v>0</v>
      </c>
      <c r="G29" s="425"/>
    </row>
    <row r="30" spans="1:7">
      <c r="A30" s="427"/>
      <c r="B30" s="319" t="s">
        <v>458</v>
      </c>
      <c r="C30" s="324" t="s">
        <v>434</v>
      </c>
      <c r="D30" s="324">
        <v>10</v>
      </c>
      <c r="E30" s="326"/>
      <c r="F30" s="326">
        <f>D30*E30</f>
        <v>0</v>
      </c>
      <c r="G30" s="425"/>
    </row>
    <row r="31" spans="1:7">
      <c r="A31" s="427"/>
      <c r="B31" s="319" t="s">
        <v>459</v>
      </c>
      <c r="C31" s="324" t="s">
        <v>434</v>
      </c>
      <c r="D31" s="324">
        <v>10</v>
      </c>
      <c r="E31" s="326"/>
      <c r="F31" s="326">
        <f>D31*E31</f>
        <v>0</v>
      </c>
      <c r="G31" s="425"/>
    </row>
    <row r="32" spans="1:7">
      <c r="A32" s="427"/>
      <c r="B32" s="319" t="s">
        <v>460</v>
      </c>
      <c r="C32" s="324" t="s">
        <v>461</v>
      </c>
      <c r="D32" s="324">
        <v>750</v>
      </c>
      <c r="E32" s="326"/>
      <c r="F32" s="326">
        <f>D32*E32</f>
        <v>0</v>
      </c>
      <c r="G32" s="425"/>
    </row>
    <row r="33" spans="1:7">
      <c r="A33" s="427"/>
      <c r="B33" s="319" t="s">
        <v>462</v>
      </c>
      <c r="C33" s="324" t="s">
        <v>434</v>
      </c>
      <c r="D33" s="324">
        <v>10</v>
      </c>
      <c r="E33" s="326"/>
      <c r="F33" s="326">
        <f>D33*E33</f>
        <v>0</v>
      </c>
      <c r="G33" s="425"/>
    </row>
    <row r="34" spans="1:7" ht="29.25" customHeight="1">
      <c r="A34" s="427"/>
      <c r="B34" s="319" t="s">
        <v>463</v>
      </c>
      <c r="C34" s="327"/>
      <c r="D34" s="327"/>
      <c r="E34" s="327"/>
      <c r="F34" s="327" t="s">
        <v>447</v>
      </c>
      <c r="G34" s="425"/>
    </row>
    <row r="35" spans="1:7" ht="29">
      <c r="A35" s="427"/>
      <c r="B35" s="319" t="s">
        <v>464</v>
      </c>
      <c r="C35" s="327"/>
      <c r="D35" s="327"/>
      <c r="E35" s="327"/>
      <c r="F35" s="327" t="s">
        <v>447</v>
      </c>
      <c r="G35" s="425"/>
    </row>
    <row r="36" spans="1:7" ht="39.75" customHeight="1">
      <c r="A36" s="328"/>
      <c r="B36" s="328"/>
      <c r="C36" s="328"/>
      <c r="D36" s="328"/>
      <c r="E36" s="455" t="s">
        <v>7</v>
      </c>
      <c r="F36" s="455"/>
      <c r="G36" s="329">
        <f>G6+G18+G28</f>
        <v>0</v>
      </c>
    </row>
    <row r="37" spans="1:7" ht="15" customHeight="1">
      <c r="A37" s="330"/>
      <c r="B37" s="330"/>
      <c r="C37" s="330"/>
      <c r="D37" s="330"/>
      <c r="E37" s="456" t="s">
        <v>429</v>
      </c>
      <c r="F37" s="456"/>
      <c r="G37" s="331">
        <f>G36/G4</f>
        <v>0</v>
      </c>
    </row>
  </sheetData>
  <mergeCells count="15">
    <mergeCell ref="A1:A3"/>
    <mergeCell ref="B1:G2"/>
    <mergeCell ref="B3:G3"/>
    <mergeCell ref="A4:E4"/>
    <mergeCell ref="A6:A17"/>
    <mergeCell ref="B6:F6"/>
    <mergeCell ref="G6:G17"/>
    <mergeCell ref="E36:F36"/>
    <mergeCell ref="E37:F37"/>
    <mergeCell ref="A18:A27"/>
    <mergeCell ref="B18:F18"/>
    <mergeCell ref="G18:G27"/>
    <mergeCell ref="A28:A35"/>
    <mergeCell ref="B28:F28"/>
    <mergeCell ref="G28:G35"/>
  </mergeCells>
  <pageMargins left="0.7" right="0.7" top="0.75" bottom="0.75" header="0.3" footer="0.3"/>
  <pageSetup scale="4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73861-7BD3-4428-B02C-2455B8FBE775}">
  <sheetPr>
    <tabColor theme="4" tint="0.59999389629810485"/>
  </sheetPr>
  <dimension ref="A2:E28"/>
  <sheetViews>
    <sheetView showGridLines="0" view="pageBreakPreview" topLeftCell="A13" zoomScale="80" zoomScaleNormal="120" zoomScaleSheetLayoutView="80" workbookViewId="0">
      <selection activeCell="G28" sqref="G28"/>
    </sheetView>
  </sheetViews>
  <sheetFormatPr baseColWidth="10" defaultColWidth="11.453125" defaultRowHeight="12.5"/>
  <cols>
    <col min="4" max="4" width="14.453125" customWidth="1"/>
  </cols>
  <sheetData>
    <row r="2" spans="1:5" ht="13">
      <c r="A2" s="408" t="s">
        <v>291</v>
      </c>
      <c r="B2" s="409"/>
      <c r="C2" s="409"/>
      <c r="D2" s="409"/>
      <c r="E2" s="410"/>
    </row>
    <row r="3" spans="1:5" ht="13">
      <c r="A3" s="411" t="s">
        <v>292</v>
      </c>
      <c r="B3" s="412"/>
      <c r="C3" s="412"/>
      <c r="D3" s="412"/>
      <c r="E3" s="413"/>
    </row>
    <row r="4" spans="1:5">
      <c r="A4" s="111" t="s">
        <v>293</v>
      </c>
      <c r="B4" s="112"/>
      <c r="C4" s="112"/>
      <c r="D4" s="112"/>
      <c r="E4" s="113"/>
    </row>
    <row r="5" spans="1:5">
      <c r="A5" s="111" t="s">
        <v>294</v>
      </c>
      <c r="B5" s="112"/>
      <c r="C5" s="112"/>
      <c r="D5" s="112"/>
      <c r="E5" s="113"/>
    </row>
    <row r="6" spans="1:5" ht="13">
      <c r="A6" s="411" t="s">
        <v>295</v>
      </c>
      <c r="B6" s="412"/>
      <c r="C6" s="412"/>
      <c r="D6" s="412"/>
      <c r="E6" s="413"/>
    </row>
    <row r="7" spans="1:5">
      <c r="A7" s="114" t="s">
        <v>296</v>
      </c>
      <c r="B7" s="112"/>
      <c r="C7" s="112"/>
      <c r="D7" s="112"/>
      <c r="E7" s="113"/>
    </row>
    <row r="8" spans="1:5">
      <c r="A8" s="114" t="s">
        <v>297</v>
      </c>
      <c r="B8" s="112"/>
      <c r="C8" s="112"/>
      <c r="D8" s="112"/>
      <c r="E8" s="113"/>
    </row>
    <row r="9" spans="1:5">
      <c r="A9" s="114" t="s">
        <v>298</v>
      </c>
      <c r="B9" s="112"/>
      <c r="C9" s="112"/>
      <c r="D9" s="112"/>
      <c r="E9" s="113"/>
    </row>
    <row r="10" spans="1:5">
      <c r="A10" s="114" t="s">
        <v>299</v>
      </c>
      <c r="B10" s="112"/>
      <c r="C10" s="112"/>
      <c r="D10" s="112"/>
      <c r="E10" s="113"/>
    </row>
    <row r="11" spans="1:5" ht="13">
      <c r="A11" s="115" t="s">
        <v>300</v>
      </c>
      <c r="B11" s="116"/>
      <c r="C11" s="116"/>
      <c r="D11" s="116"/>
      <c r="E11" s="117"/>
    </row>
    <row r="12" spans="1:5">
      <c r="A12" s="111" t="s">
        <v>301</v>
      </c>
      <c r="B12" s="112"/>
      <c r="C12" s="112"/>
      <c r="D12" s="112"/>
      <c r="E12" s="113"/>
    </row>
    <row r="13" spans="1:5">
      <c r="A13" s="111" t="s">
        <v>302</v>
      </c>
      <c r="B13" s="112"/>
      <c r="C13" s="112"/>
      <c r="D13" s="112"/>
      <c r="E13" s="113"/>
    </row>
    <row r="14" spans="1:5">
      <c r="A14" s="111" t="s">
        <v>303</v>
      </c>
      <c r="B14" s="112"/>
      <c r="C14" s="112"/>
      <c r="D14" s="112"/>
      <c r="E14" s="113"/>
    </row>
    <row r="15" spans="1:5">
      <c r="A15" s="111" t="s">
        <v>304</v>
      </c>
      <c r="B15" s="112"/>
      <c r="C15" s="112"/>
      <c r="D15" s="112"/>
      <c r="E15" s="113"/>
    </row>
    <row r="16" spans="1:5">
      <c r="A16" s="114" t="s">
        <v>305</v>
      </c>
      <c r="B16" s="112"/>
      <c r="C16" s="112"/>
      <c r="D16" s="112"/>
      <c r="E16" s="113"/>
    </row>
    <row r="17" spans="1:5" ht="13">
      <c r="A17" s="115" t="s">
        <v>306</v>
      </c>
      <c r="B17" s="118"/>
      <c r="C17" s="118"/>
      <c r="D17" s="118"/>
      <c r="E17" s="119"/>
    </row>
    <row r="18" spans="1:5">
      <c r="A18" s="114" t="s">
        <v>307</v>
      </c>
      <c r="B18" s="112"/>
      <c r="C18" s="112"/>
      <c r="D18" s="112"/>
      <c r="E18" s="113"/>
    </row>
    <row r="19" spans="1:5">
      <c r="A19" s="111" t="s">
        <v>308</v>
      </c>
      <c r="B19" s="112"/>
      <c r="C19" s="112"/>
      <c r="D19" s="112"/>
      <c r="E19" s="113"/>
    </row>
    <row r="20" spans="1:5">
      <c r="A20" s="114" t="s">
        <v>309</v>
      </c>
      <c r="B20" s="112"/>
      <c r="C20" s="112"/>
      <c r="D20" s="112"/>
      <c r="E20" s="113"/>
    </row>
    <row r="21" spans="1:5" ht="13">
      <c r="A21" s="115" t="s">
        <v>310</v>
      </c>
      <c r="B21" s="118"/>
      <c r="C21" s="118"/>
      <c r="D21" s="118"/>
      <c r="E21" s="119"/>
    </row>
    <row r="22" spans="1:5">
      <c r="A22" s="111" t="s">
        <v>311</v>
      </c>
      <c r="B22" s="112"/>
      <c r="C22" s="112"/>
      <c r="D22" s="112"/>
      <c r="E22" s="113"/>
    </row>
    <row r="23" spans="1:5">
      <c r="A23" s="111" t="s">
        <v>312</v>
      </c>
      <c r="B23" s="112"/>
      <c r="C23" s="112"/>
      <c r="D23" s="112"/>
      <c r="E23" s="113"/>
    </row>
    <row r="24" spans="1:5">
      <c r="A24" s="111" t="s">
        <v>313</v>
      </c>
      <c r="B24" s="112"/>
      <c r="C24" s="112"/>
      <c r="D24" s="112"/>
      <c r="E24" s="113"/>
    </row>
    <row r="25" spans="1:5">
      <c r="A25" s="111" t="s">
        <v>314</v>
      </c>
      <c r="B25" s="112"/>
      <c r="C25" s="112"/>
      <c r="D25" s="112"/>
      <c r="E25" s="113"/>
    </row>
    <row r="26" spans="1:5">
      <c r="A26" s="111" t="s">
        <v>315</v>
      </c>
      <c r="B26" s="112"/>
      <c r="C26" s="112"/>
      <c r="D26" s="112"/>
      <c r="E26" s="113"/>
    </row>
    <row r="27" spans="1:5" ht="13">
      <c r="A27" s="120" t="s">
        <v>316</v>
      </c>
      <c r="B27" s="121"/>
      <c r="C27" s="121"/>
      <c r="D27" s="121"/>
      <c r="E27" s="122">
        <f>SUM(E22:E26)</f>
        <v>0</v>
      </c>
    </row>
    <row r="28" spans="1:5">
      <c r="B28" s="45"/>
      <c r="C28" s="45"/>
      <c r="D28" s="45"/>
      <c r="E28" s="45"/>
    </row>
  </sheetData>
  <mergeCells count="3">
    <mergeCell ref="A2:E2"/>
    <mergeCell ref="A3:E3"/>
    <mergeCell ref="A6:E6"/>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DBDF0-C32F-4BC9-8496-AE8D1067F11C}">
  <sheetPr>
    <tabColor theme="4" tint="0.59999389629810485"/>
    <pageSetUpPr fitToPage="1"/>
  </sheetPr>
  <dimension ref="A1:J52"/>
  <sheetViews>
    <sheetView view="pageBreakPreview" topLeftCell="A43" zoomScale="85" zoomScaleNormal="80" zoomScaleSheetLayoutView="85" workbookViewId="0">
      <selection sqref="A1:J1"/>
    </sheetView>
  </sheetViews>
  <sheetFormatPr baseColWidth="10" defaultColWidth="11.453125" defaultRowHeight="12.5"/>
  <cols>
    <col min="1" max="1" width="4.26953125" customWidth="1"/>
    <col min="2" max="2" width="34.7265625" customWidth="1"/>
    <col min="6" max="6" width="18.453125" customWidth="1"/>
  </cols>
  <sheetData>
    <row r="1" spans="1:10" ht="57" customHeight="1">
      <c r="A1" s="466" t="str">
        <f>+Usuarios!B1</f>
        <v>IMPLEMENTACIÓN DE SOLUCIONES ENERGÉTICAS SOSTENIBLES CON FUENTES NO CONVENCIONALES PARA LAS  COMUNIDADES RURALES DEL MUNICIPIO CARTAGENA DEL CHAIRÁ, DEPARTAMENTO DEL CAQUETÁ</v>
      </c>
      <c r="B1" s="466"/>
      <c r="C1" s="466"/>
      <c r="D1" s="466"/>
      <c r="E1" s="466"/>
      <c r="F1" s="466"/>
      <c r="G1" s="466"/>
      <c r="H1" s="466"/>
      <c r="I1" s="466"/>
      <c r="J1" s="466"/>
    </row>
    <row r="2" spans="1:10" ht="13">
      <c r="A2" s="467" t="s">
        <v>466</v>
      </c>
      <c r="B2" s="467"/>
      <c r="C2" s="467"/>
      <c r="D2" s="467"/>
      <c r="E2" s="467"/>
      <c r="F2" s="467"/>
      <c r="G2" s="467"/>
      <c r="H2" s="467"/>
      <c r="I2" s="467"/>
      <c r="J2" s="467"/>
    </row>
    <row r="3" spans="1:10">
      <c r="C3" s="246"/>
      <c r="D3" s="246"/>
    </row>
    <row r="5" spans="1:10" ht="13">
      <c r="B5" s="247" t="s">
        <v>467</v>
      </c>
      <c r="C5" s="246"/>
      <c r="D5" s="246"/>
    </row>
    <row r="6" spans="1:10">
      <c r="C6" s="246"/>
      <c r="D6" s="246"/>
    </row>
    <row r="7" spans="1:10" ht="13">
      <c r="B7" s="248" t="s">
        <v>468</v>
      </c>
      <c r="C7" s="246"/>
      <c r="D7" s="246"/>
    </row>
    <row r="8" spans="1:10" ht="15">
      <c r="B8" s="250" t="s">
        <v>469</v>
      </c>
      <c r="C8" s="250" t="s">
        <v>470</v>
      </c>
      <c r="D8" s="250" t="s">
        <v>471</v>
      </c>
      <c r="E8" s="250" t="s">
        <v>7</v>
      </c>
    </row>
    <row r="9" spans="1:10" ht="13">
      <c r="B9" s="249">
        <v>0.6</v>
      </c>
      <c r="C9" s="256">
        <v>1.25</v>
      </c>
      <c r="D9" s="256">
        <f>PI()*(B9/2)^2*C9</f>
        <v>0.35342917352885173</v>
      </c>
      <c r="E9" s="256">
        <f>+ROUND(D9,2)</f>
        <v>0.35</v>
      </c>
    </row>
    <row r="10" spans="1:10" ht="13">
      <c r="C10" s="256"/>
      <c r="D10" s="256"/>
      <c r="E10" s="256"/>
    </row>
    <row r="11" spans="1:10" ht="13">
      <c r="B11" s="248" t="s">
        <v>472</v>
      </c>
      <c r="C11" s="256"/>
      <c r="D11" s="256"/>
      <c r="E11" s="256"/>
    </row>
    <row r="12" spans="1:10" ht="13">
      <c r="B12" s="249">
        <v>0.6</v>
      </c>
      <c r="C12" s="256">
        <v>0</v>
      </c>
      <c r="D12" s="256">
        <f>PI()*(B12/2)^2*C12</f>
        <v>0</v>
      </c>
      <c r="E12" s="256">
        <f>+ROUND(D12,2)</f>
        <v>0</v>
      </c>
    </row>
    <row r="13" spans="1:10" ht="13">
      <c r="C13" s="256"/>
      <c r="D13" s="256"/>
      <c r="E13" s="256"/>
    </row>
    <row r="14" spans="1:10" ht="13">
      <c r="B14" s="250" t="s">
        <v>473</v>
      </c>
      <c r="C14" s="256">
        <f>$E$12*G15</f>
        <v>0</v>
      </c>
      <c r="D14" s="256"/>
      <c r="E14" s="256"/>
      <c r="F14" s="464" t="s">
        <v>474</v>
      </c>
      <c r="G14" s="465"/>
    </row>
    <row r="15" spans="1:10" ht="14">
      <c r="B15" s="250" t="s">
        <v>475</v>
      </c>
      <c r="C15" s="256">
        <f t="shared" ref="C15:C17" si="0">$E$12*G16</f>
        <v>0</v>
      </c>
      <c r="D15" s="256"/>
      <c r="E15" s="256"/>
      <c r="F15" s="251" t="s">
        <v>473</v>
      </c>
      <c r="G15" s="252">
        <v>300</v>
      </c>
    </row>
    <row r="16" spans="1:10" ht="14">
      <c r="B16" s="250" t="s">
        <v>476</v>
      </c>
      <c r="C16" s="256">
        <f t="shared" si="0"/>
        <v>0</v>
      </c>
      <c r="D16" s="256"/>
      <c r="E16" s="256"/>
      <c r="F16" s="251" t="s">
        <v>475</v>
      </c>
      <c r="G16" s="252">
        <v>0.48</v>
      </c>
    </row>
    <row r="17" spans="2:7" ht="14">
      <c r="B17" s="250" t="s">
        <v>477</v>
      </c>
      <c r="C17" s="256">
        <f t="shared" si="0"/>
        <v>0</v>
      </c>
      <c r="D17" s="256"/>
      <c r="E17" s="256"/>
      <c r="F17" s="251" t="s">
        <v>476</v>
      </c>
      <c r="G17" s="252">
        <v>0.95</v>
      </c>
    </row>
    <row r="18" spans="2:7" ht="13">
      <c r="C18" s="256"/>
      <c r="D18" s="256"/>
      <c r="E18" s="256"/>
      <c r="F18" s="253" t="s">
        <v>477</v>
      </c>
      <c r="G18" s="254">
        <v>170</v>
      </c>
    </row>
    <row r="19" spans="2:7" ht="13">
      <c r="B19" s="248" t="s">
        <v>478</v>
      </c>
      <c r="C19" s="256"/>
      <c r="D19" s="256"/>
      <c r="E19" s="256"/>
    </row>
    <row r="20" spans="2:7" ht="15">
      <c r="B20" s="250" t="s">
        <v>469</v>
      </c>
      <c r="C20" s="250" t="s">
        <v>470</v>
      </c>
      <c r="D20" s="250" t="s">
        <v>471</v>
      </c>
      <c r="E20" s="250" t="s">
        <v>7</v>
      </c>
    </row>
    <row r="21" spans="2:7" ht="13">
      <c r="B21" s="249">
        <v>0.6</v>
      </c>
      <c r="C21" s="256">
        <v>1.35</v>
      </c>
      <c r="D21" s="256">
        <f>PI()*(B21/2)^2*C21</f>
        <v>0.38170350741115988</v>
      </c>
      <c r="E21" s="256">
        <f t="shared" ref="E21:E22" si="1">+ROUND(D21,2)</f>
        <v>0.38</v>
      </c>
    </row>
    <row r="22" spans="2:7" ht="13">
      <c r="B22" s="249">
        <v>0.21</v>
      </c>
      <c r="C22" s="256">
        <v>-1.1000000000000001</v>
      </c>
      <c r="D22" s="256">
        <f>PI()*(B22/2)^2*C22</f>
        <v>-3.8099664906410216E-2</v>
      </c>
      <c r="E22" s="256">
        <f t="shared" si="1"/>
        <v>-0.04</v>
      </c>
    </row>
    <row r="23" spans="2:7" ht="13">
      <c r="C23" s="256"/>
      <c r="D23" s="257" t="s">
        <v>479</v>
      </c>
      <c r="E23" s="256">
        <f>SUM(E21:E22)</f>
        <v>0.34</v>
      </c>
    </row>
    <row r="24" spans="2:7" ht="13">
      <c r="C24" s="256"/>
      <c r="D24" s="257"/>
      <c r="E24" s="256"/>
    </row>
    <row r="25" spans="2:7" ht="13">
      <c r="B25" s="250" t="s">
        <v>473</v>
      </c>
      <c r="C25" s="256">
        <f>$E$23*G26</f>
        <v>119.00000000000001</v>
      </c>
      <c r="D25" s="256"/>
      <c r="E25" s="256"/>
      <c r="F25" s="464" t="s">
        <v>480</v>
      </c>
      <c r="G25" s="465"/>
    </row>
    <row r="26" spans="2:7" ht="14">
      <c r="B26" s="250" t="s">
        <v>475</v>
      </c>
      <c r="C26" s="256">
        <f t="shared" ref="C26:C28" si="2">$E$23*G27</f>
        <v>0.19040000000000004</v>
      </c>
      <c r="D26" s="256"/>
      <c r="E26" s="256"/>
      <c r="F26" s="251" t="s">
        <v>473</v>
      </c>
      <c r="G26" s="252">
        <v>350</v>
      </c>
    </row>
    <row r="27" spans="2:7" ht="14">
      <c r="B27" s="250" t="s">
        <v>476</v>
      </c>
      <c r="C27" s="256">
        <f t="shared" si="2"/>
        <v>0.28560000000000002</v>
      </c>
      <c r="D27" s="256"/>
      <c r="E27" s="256"/>
      <c r="F27" s="251" t="s">
        <v>475</v>
      </c>
      <c r="G27" s="252">
        <v>0.56000000000000005</v>
      </c>
    </row>
    <row r="28" spans="2:7" ht="14">
      <c r="B28" s="250" t="s">
        <v>477</v>
      </c>
      <c r="C28" s="256">
        <f t="shared" si="2"/>
        <v>85</v>
      </c>
      <c r="D28" s="256"/>
      <c r="E28" s="256"/>
      <c r="F28" s="251" t="s">
        <v>476</v>
      </c>
      <c r="G28" s="252">
        <v>0.84</v>
      </c>
    </row>
    <row r="29" spans="2:7" ht="13">
      <c r="C29" s="256"/>
      <c r="D29" s="256"/>
      <c r="E29" s="256"/>
      <c r="F29" s="253" t="s">
        <v>477</v>
      </c>
      <c r="G29" s="254">
        <v>250</v>
      </c>
    </row>
    <row r="30" spans="2:7">
      <c r="C30" s="246"/>
      <c r="D30" s="246"/>
    </row>
    <row r="31" spans="2:7" ht="13">
      <c r="B31" s="248" t="s">
        <v>481</v>
      </c>
      <c r="C31" s="246"/>
      <c r="D31" s="246"/>
    </row>
    <row r="32" spans="2:7" ht="13">
      <c r="C32" t="s">
        <v>482</v>
      </c>
      <c r="D32" s="250" t="s">
        <v>469</v>
      </c>
      <c r="E32" s="250" t="s">
        <v>470</v>
      </c>
      <c r="F32" s="250" t="s">
        <v>483</v>
      </c>
      <c r="G32" s="250" t="s">
        <v>7</v>
      </c>
    </row>
    <row r="33" spans="2:7" ht="13">
      <c r="B33" s="26" t="s">
        <v>484</v>
      </c>
      <c r="C33" s="256">
        <v>0.45</v>
      </c>
      <c r="D33" s="256">
        <f>ROUND(2*PI()*(C33/2)+0.2,2)</f>
        <v>1.61</v>
      </c>
      <c r="E33" s="256">
        <f>C21-0.075-0.05</f>
        <v>1.2250000000000001</v>
      </c>
      <c r="F33" s="259">
        <v>2.99</v>
      </c>
      <c r="G33">
        <f>ROUND(D33*E33*F33,2)</f>
        <v>5.9</v>
      </c>
    </row>
    <row r="34" spans="2:7" ht="13">
      <c r="B34" s="26"/>
      <c r="C34" s="256" t="s">
        <v>485</v>
      </c>
      <c r="D34" s="256">
        <f>+D33*E33</f>
        <v>1.9722500000000003</v>
      </c>
      <c r="E34" s="256"/>
      <c r="F34" s="259"/>
    </row>
    <row r="35" spans="2:7" ht="13">
      <c r="B35" s="250"/>
      <c r="C35" s="249"/>
      <c r="D35" s="249"/>
    </row>
    <row r="36" spans="2:7" ht="13">
      <c r="B36" s="248" t="s">
        <v>486</v>
      </c>
      <c r="C36" s="249"/>
      <c r="D36" s="249"/>
    </row>
    <row r="37" spans="2:7" ht="13">
      <c r="B37" s="250" t="s">
        <v>473</v>
      </c>
      <c r="C37" s="249">
        <f>+C14+C25</f>
        <v>119.00000000000001</v>
      </c>
      <c r="D37" s="249"/>
    </row>
    <row r="38" spans="2:7" ht="14">
      <c r="B38" s="250" t="s">
        <v>475</v>
      </c>
      <c r="C38" s="249">
        <f>+C15+C26</f>
        <v>0.19040000000000004</v>
      </c>
      <c r="D38" s="249"/>
    </row>
    <row r="39" spans="2:7" ht="14">
      <c r="B39" s="250" t="s">
        <v>476</v>
      </c>
      <c r="C39" s="249">
        <f>+C16+C27</f>
        <v>0.28560000000000002</v>
      </c>
      <c r="D39" s="249"/>
    </row>
    <row r="40" spans="2:7" ht="13">
      <c r="B40" s="250" t="s">
        <v>477</v>
      </c>
      <c r="C40" s="249">
        <f>+C17+C28</f>
        <v>85</v>
      </c>
      <c r="D40" s="249"/>
    </row>
    <row r="41" spans="2:7" ht="13">
      <c r="B41" s="250"/>
      <c r="C41" s="249"/>
      <c r="D41" s="249"/>
    </row>
    <row r="42" spans="2:7" ht="13">
      <c r="B42" s="248" t="s">
        <v>487</v>
      </c>
      <c r="C42" s="249"/>
      <c r="D42" s="249"/>
    </row>
    <row r="43" spans="2:7" ht="13">
      <c r="B43" s="250"/>
      <c r="C43" s="250" t="s">
        <v>488</v>
      </c>
      <c r="D43" s="250" t="s">
        <v>126</v>
      </c>
      <c r="E43" s="250" t="s">
        <v>483</v>
      </c>
      <c r="F43" s="250" t="s">
        <v>7</v>
      </c>
    </row>
    <row r="44" spans="2:7" ht="27.65" customHeight="1">
      <c r="B44" s="1" t="s">
        <v>489</v>
      </c>
      <c r="C44">
        <v>4</v>
      </c>
      <c r="D44" s="255">
        <v>2</v>
      </c>
      <c r="E44" s="246">
        <v>4.75</v>
      </c>
      <c r="F44">
        <f t="shared" ref="F44:F50" si="3">+C44*D44*E44</f>
        <v>38</v>
      </c>
    </row>
    <row r="45" spans="2:7" ht="25">
      <c r="B45" s="1" t="s">
        <v>490</v>
      </c>
      <c r="C45">
        <v>1.45</v>
      </c>
      <c r="D45" s="255">
        <v>2</v>
      </c>
      <c r="E45" s="246">
        <v>1.83</v>
      </c>
      <c r="F45">
        <f t="shared" si="3"/>
        <v>5.3070000000000004</v>
      </c>
    </row>
    <row r="46" spans="2:7" ht="28.15" customHeight="1">
      <c r="B46" s="1" t="s">
        <v>491</v>
      </c>
      <c r="C46">
        <v>1.45</v>
      </c>
      <c r="D46" s="255">
        <v>4</v>
      </c>
      <c r="E46" s="246">
        <v>6.1</v>
      </c>
      <c r="F46">
        <f t="shared" si="3"/>
        <v>35.379999999999995</v>
      </c>
    </row>
    <row r="47" spans="2:7" ht="25">
      <c r="B47" s="1" t="s">
        <v>491</v>
      </c>
      <c r="C47">
        <f>0.64*2+0.28*2</f>
        <v>1.84</v>
      </c>
      <c r="D47" s="255">
        <v>2</v>
      </c>
      <c r="E47" s="246">
        <v>6.1</v>
      </c>
      <c r="F47">
        <f t="shared" ref="F47" si="4">+C47*D47*E47</f>
        <v>22.448</v>
      </c>
    </row>
    <row r="48" spans="2:7" ht="25">
      <c r="B48" s="1" t="s">
        <v>492</v>
      </c>
      <c r="C48">
        <f>4*0.2*0.05</f>
        <v>4.0000000000000008E-2</v>
      </c>
      <c r="D48" s="298">
        <f>0.25*0.0254</f>
        <v>6.3499999999999997E-3</v>
      </c>
      <c r="E48" s="246">
        <v>7850</v>
      </c>
      <c r="F48">
        <f t="shared" si="3"/>
        <v>1.9939000000000004</v>
      </c>
    </row>
    <row r="49" spans="2:6" ht="25">
      <c r="B49" s="1" t="s">
        <v>493</v>
      </c>
      <c r="C49">
        <f>0.3*0.3</f>
        <v>0.09</v>
      </c>
      <c r="D49" s="255">
        <v>9.5300000000000003E-3</v>
      </c>
      <c r="E49" s="246">
        <v>7850</v>
      </c>
      <c r="F49">
        <f t="shared" si="3"/>
        <v>6.732945</v>
      </c>
    </row>
    <row r="50" spans="2:6" ht="25">
      <c r="B50" s="1" t="s">
        <v>494</v>
      </c>
      <c r="C50">
        <f>8*0.0254</f>
        <v>0.20319999999999999</v>
      </c>
      <c r="D50" s="255">
        <v>2</v>
      </c>
      <c r="E50" s="246">
        <v>0.55600000000000005</v>
      </c>
      <c r="F50">
        <f t="shared" si="3"/>
        <v>0.2259584</v>
      </c>
    </row>
    <row r="51" spans="2:6" ht="25">
      <c r="B51" s="1" t="s">
        <v>495</v>
      </c>
      <c r="C51">
        <f>(1.5)*0.0254</f>
        <v>3.8099999999999995E-2</v>
      </c>
      <c r="D51" s="255">
        <v>4</v>
      </c>
      <c r="E51" s="246">
        <v>0.99399999999999999</v>
      </c>
      <c r="F51">
        <f t="shared" ref="F51" si="5">+C51*D51*E51</f>
        <v>0.15148559999999997</v>
      </c>
    </row>
    <row r="52" spans="2:6" ht="13">
      <c r="B52" s="1"/>
      <c r="D52" s="255"/>
      <c r="E52" s="26" t="s">
        <v>479</v>
      </c>
      <c r="F52" s="260">
        <f>+ROUND(SUM(F44:F51),2)</f>
        <v>110.24</v>
      </c>
    </row>
  </sheetData>
  <mergeCells count="4">
    <mergeCell ref="F25:G25"/>
    <mergeCell ref="A1:J1"/>
    <mergeCell ref="A2:J2"/>
    <mergeCell ref="F14:G14"/>
  </mergeCells>
  <phoneticPr fontId="29" type="noConversion"/>
  <pageMargins left="0.70866141732283472" right="0.70866141732283472" top="0.74803149606299213" bottom="0.74803149606299213" header="0.31496062992125984" footer="0.31496062992125984"/>
  <pageSetup scale="6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922E0-98BC-403B-B542-9AB113A011A5}">
  <sheetPr>
    <tabColor theme="4" tint="0.79998168889431442"/>
    <pageSetUpPr fitToPage="1"/>
  </sheetPr>
  <dimension ref="A1:F39"/>
  <sheetViews>
    <sheetView showGridLines="0" view="pageBreakPreview" zoomScale="76" zoomScaleNormal="120" zoomScaleSheetLayoutView="76" workbookViewId="0">
      <selection sqref="A1:A35"/>
    </sheetView>
  </sheetViews>
  <sheetFormatPr baseColWidth="10" defaultColWidth="11.453125" defaultRowHeight="12.5"/>
  <cols>
    <col min="1" max="1" width="11.453125" style="64"/>
    <col min="2" max="2" width="46.54296875" style="64" customWidth="1"/>
    <col min="3" max="3" width="12.54296875" style="64" customWidth="1"/>
    <col min="4" max="4" width="14.453125" style="64" customWidth="1"/>
    <col min="5" max="5" width="12.7265625" style="64" customWidth="1"/>
    <col min="6" max="6" width="15.26953125" style="64" customWidth="1"/>
    <col min="7" max="7" width="6.26953125" style="64" customWidth="1"/>
    <col min="8" max="8" width="11.453125" style="64"/>
    <col min="9" max="9" width="11.7265625" style="64" bestFit="1" customWidth="1"/>
    <col min="10" max="16384" width="11.453125" style="64"/>
  </cols>
  <sheetData>
    <row r="1" spans="1:6" ht="35.25" customHeight="1">
      <c r="B1" s="499" t="str">
        <f>+'PRESUPUESTO GENERAL SISFV'!$A$1</f>
        <v>IMPLEMENTACIÓN DE SOLUCIONES ENERGÉTICAS SOSTENIBLES CON FUENTES NO CONVENCIONALES PARA LAS  COMUNIDADES RURALES DEL MUNICIPIO CARTAGENA DEL CHAIRÁ, DEPARTAMENTO DEL CAQUETÁ</v>
      </c>
      <c r="C1" s="499"/>
      <c r="D1" s="499"/>
      <c r="E1" s="499"/>
      <c r="F1" s="499"/>
    </row>
    <row r="3" spans="1:6" ht="12.75" customHeight="1">
      <c r="B3" s="65" t="s">
        <v>556</v>
      </c>
      <c r="C3" s="66" t="str">
        <f>+'PRESUPUESTO GENERAL SISFV'!A5</f>
        <v>1.1</v>
      </c>
      <c r="D3" s="66"/>
      <c r="E3" s="66"/>
      <c r="F3" s="67" t="s">
        <v>557</v>
      </c>
    </row>
    <row r="4" spans="1:6" ht="26.5" customHeight="1">
      <c r="B4" s="500" t="str">
        <f>+'PRESUPUESTO GENERAL SISFV'!B5</f>
        <v>Realizar Replanteo de obra</v>
      </c>
      <c r="C4" s="501"/>
      <c r="D4" s="502"/>
      <c r="F4" s="68" t="str">
        <f>+'PRESUPUESTO GENERAL SISFV'!C5</f>
        <v>UN</v>
      </c>
    </row>
    <row r="5" spans="1:6" ht="13">
      <c r="B5" s="69"/>
      <c r="F5" s="70"/>
    </row>
    <row r="6" spans="1:6" ht="13">
      <c r="B6" s="71" t="s">
        <v>558</v>
      </c>
    </row>
    <row r="7" spans="1:6" ht="13">
      <c r="A7" s="134" t="s">
        <v>204</v>
      </c>
      <c r="B7" s="72" t="s">
        <v>97</v>
      </c>
      <c r="C7" s="73" t="s">
        <v>364</v>
      </c>
      <c r="D7" s="73" t="s">
        <v>126</v>
      </c>
      <c r="E7" s="73" t="s">
        <v>365</v>
      </c>
      <c r="F7" s="73" t="s">
        <v>366</v>
      </c>
    </row>
    <row r="8" spans="1:6" ht="13.15" customHeight="1">
      <c r="A8" s="135"/>
      <c r="B8" s="74"/>
      <c r="C8" s="75"/>
      <c r="D8" s="76"/>
      <c r="E8" s="77"/>
      <c r="F8" s="77"/>
    </row>
    <row r="9" spans="1:6" ht="14.5">
      <c r="A9" s="135"/>
      <c r="B9" s="78"/>
      <c r="C9" s="79"/>
      <c r="D9" s="80"/>
      <c r="E9" s="81"/>
      <c r="F9" s="81"/>
    </row>
    <row r="10" spans="1:6" ht="14.5">
      <c r="A10" s="135"/>
      <c r="B10" s="78"/>
      <c r="C10" s="79"/>
      <c r="D10" s="80"/>
      <c r="E10" s="81"/>
      <c r="F10" s="81"/>
    </row>
    <row r="11" spans="1:6" ht="14.5">
      <c r="A11" s="135"/>
      <c r="B11" s="78"/>
      <c r="C11" s="79"/>
      <c r="D11" s="80"/>
      <c r="E11" s="81"/>
      <c r="F11" s="81"/>
    </row>
    <row r="12" spans="1:6" ht="14.5">
      <c r="A12" s="135"/>
      <c r="B12" s="78"/>
      <c r="C12" s="79"/>
      <c r="D12" s="80"/>
      <c r="E12" s="81"/>
      <c r="F12" s="81"/>
    </row>
    <row r="13" spans="1:6" ht="13">
      <c r="D13" s="82"/>
      <c r="E13" s="83" t="s">
        <v>559</v>
      </c>
      <c r="F13" s="84">
        <f>SUM(F8:F12)</f>
        <v>0</v>
      </c>
    </row>
    <row r="15" spans="1:6" ht="13">
      <c r="B15" s="85" t="s">
        <v>560</v>
      </c>
    </row>
    <row r="16" spans="1:6" ht="13">
      <c r="A16" s="134" t="s">
        <v>204</v>
      </c>
      <c r="B16" s="72" t="s">
        <v>97</v>
      </c>
      <c r="C16" s="73" t="s">
        <v>126</v>
      </c>
      <c r="D16" s="73" t="s">
        <v>561</v>
      </c>
      <c r="E16" s="73" t="s">
        <v>99</v>
      </c>
      <c r="F16" s="73" t="s">
        <v>366</v>
      </c>
    </row>
    <row r="17" spans="1:6" ht="14.5">
      <c r="A17" s="135">
        <v>2</v>
      </c>
      <c r="B17" s="78" t="str">
        <f>VLOOKUP(A17,Equipoyherramienta[],2,FALSE)</f>
        <v>GPS</v>
      </c>
      <c r="C17" s="79">
        <v>1</v>
      </c>
      <c r="D17" s="86">
        <f>VLOOKUP(A17,Equipoyherramienta[],4,FALSE)</f>
        <v>0</v>
      </c>
      <c r="E17" s="80">
        <f>+RENDIMIENTOS!C7</f>
        <v>0</v>
      </c>
      <c r="F17" s="86" t="e">
        <f>ROUND(C17*D17/E17,0)</f>
        <v>#DIV/0!</v>
      </c>
    </row>
    <row r="18" spans="1:6" ht="14.5">
      <c r="A18" s="135">
        <v>4</v>
      </c>
      <c r="B18" s="78" t="str">
        <f>VLOOKUP(A18,Equipoyherramienta[],2,FALSE)</f>
        <v>Camara y comunicaciones</v>
      </c>
      <c r="C18" s="79">
        <v>1</v>
      </c>
      <c r="D18" s="86">
        <f>VLOOKUP(A18,Equipoyherramienta[],4,FALSE)</f>
        <v>0</v>
      </c>
      <c r="E18" s="80">
        <f>+RENDIMIENTOS!C8</f>
        <v>0</v>
      </c>
      <c r="F18" s="86" t="e">
        <f>ROUND(C18*D18/E18,0)</f>
        <v>#DIV/0!</v>
      </c>
    </row>
    <row r="19" spans="1:6">
      <c r="B19" s="78"/>
      <c r="C19" s="79"/>
      <c r="D19" s="81"/>
      <c r="E19" s="87"/>
      <c r="F19" s="88"/>
    </row>
    <row r="20" spans="1:6" ht="13">
      <c r="D20" s="82"/>
      <c r="E20" s="83" t="s">
        <v>559</v>
      </c>
      <c r="F20" s="84" t="e">
        <f>SUM(F17:F19)</f>
        <v>#DIV/0!</v>
      </c>
    </row>
    <row r="21" spans="1:6" ht="13">
      <c r="D21" s="82"/>
      <c r="E21" s="82"/>
      <c r="F21" s="89"/>
    </row>
    <row r="22" spans="1:6" ht="13">
      <c r="B22" s="71" t="s">
        <v>562</v>
      </c>
      <c r="F22" s="90"/>
    </row>
    <row r="23" spans="1:6" ht="13">
      <c r="A23" s="134" t="s">
        <v>204</v>
      </c>
      <c r="B23" s="72" t="s">
        <v>97</v>
      </c>
      <c r="C23" s="73" t="s">
        <v>563</v>
      </c>
      <c r="D23" s="73" t="s">
        <v>564</v>
      </c>
      <c r="E23" s="73" t="s">
        <v>99</v>
      </c>
      <c r="F23" s="91" t="s">
        <v>366</v>
      </c>
    </row>
    <row r="24" spans="1:6" ht="19.149999999999999" customHeight="1">
      <c r="A24" s="135"/>
      <c r="B24" s="92" t="s">
        <v>565</v>
      </c>
      <c r="C24" s="76">
        <v>2</v>
      </c>
      <c r="D24" s="93">
        <v>50000</v>
      </c>
      <c r="E24" s="95">
        <f>+E17</f>
        <v>0</v>
      </c>
      <c r="F24" s="94" t="e">
        <f>ROUND(C24*D24/E24,0)</f>
        <v>#DIV/0!</v>
      </c>
    </row>
    <row r="25" spans="1:6" ht="14.5" customHeight="1">
      <c r="B25" s="92"/>
      <c r="C25" s="75"/>
      <c r="D25" s="76"/>
      <c r="E25" s="94"/>
      <c r="F25" s="94"/>
    </row>
    <row r="26" spans="1:6" ht="13">
      <c r="D26" s="82"/>
      <c r="E26" s="96" t="s">
        <v>559</v>
      </c>
      <c r="F26" s="84" t="e">
        <f>SUM(F24:F25)</f>
        <v>#DIV/0!</v>
      </c>
    </row>
    <row r="27" spans="1:6" ht="13">
      <c r="D27" s="82"/>
      <c r="F27" s="89"/>
    </row>
    <row r="28" spans="1:6" ht="13">
      <c r="B28" s="71" t="s">
        <v>566</v>
      </c>
      <c r="D28" s="97"/>
      <c r="E28" s="98"/>
      <c r="F28" s="90"/>
    </row>
    <row r="29" spans="1:6" s="82" customFormat="1" ht="13">
      <c r="A29" s="134" t="s">
        <v>204</v>
      </c>
      <c r="B29" s="73" t="s">
        <v>97</v>
      </c>
      <c r="C29" s="73" t="s">
        <v>567</v>
      </c>
      <c r="D29" s="73" t="s">
        <v>568</v>
      </c>
      <c r="E29" s="73" t="s">
        <v>99</v>
      </c>
      <c r="F29" s="91" t="s">
        <v>366</v>
      </c>
    </row>
    <row r="30" spans="1:6" ht="14.5">
      <c r="A30" s="135"/>
      <c r="B30" s="99" t="str">
        <f>+'MANO DE OBRA'!B15</f>
        <v>Topografo</v>
      </c>
      <c r="C30" s="100">
        <f>+'MANO DE OBRA'!H15</f>
        <v>0</v>
      </c>
      <c r="D30" s="87">
        <f>+FP!E27</f>
        <v>0</v>
      </c>
      <c r="E30" s="80">
        <f>+E17</f>
        <v>0</v>
      </c>
      <c r="F30" s="86" t="e">
        <f>ROUND(C30*D30/E30,0)</f>
        <v>#DIV/0!</v>
      </c>
    </row>
    <row r="31" spans="1:6" ht="14.5">
      <c r="A31" s="135"/>
      <c r="B31" s="99" t="str">
        <f>+'MANO DE OBRA'!B14</f>
        <v>Ayudante</v>
      </c>
      <c r="C31" s="100">
        <f>+'MANO DE OBRA'!H14</f>
        <v>0</v>
      </c>
      <c r="D31" s="87">
        <f>+FP!E27</f>
        <v>0</v>
      </c>
      <c r="E31" s="80">
        <f>+E30</f>
        <v>0</v>
      </c>
      <c r="F31" s="86" t="e">
        <f>ROUND(C31*D31/E31,0)</f>
        <v>#DIV/0!</v>
      </c>
    </row>
    <row r="33" spans="2:6" ht="13">
      <c r="D33" s="82"/>
      <c r="E33" s="83" t="s">
        <v>559</v>
      </c>
      <c r="F33" s="84" t="e">
        <f>SUM(F30:F32)</f>
        <v>#DIV/0!</v>
      </c>
    </row>
    <row r="34" spans="2:6" ht="13">
      <c r="D34" s="82"/>
      <c r="F34" s="90"/>
    </row>
    <row r="35" spans="2:6" ht="12.75" customHeight="1">
      <c r="D35" s="503" t="s">
        <v>569</v>
      </c>
      <c r="E35" s="504"/>
      <c r="F35" s="101" t="e">
        <f>F13+F20+F26+F33</f>
        <v>#DIV/0!</v>
      </c>
    </row>
    <row r="37" spans="2:6">
      <c r="B37" s="102"/>
      <c r="C37"/>
    </row>
    <row r="38" spans="2:6">
      <c r="B38" s="102"/>
      <c r="C38" s="102"/>
    </row>
    <row r="39" spans="2:6">
      <c r="B39" s="102"/>
      <c r="C39" s="103"/>
    </row>
  </sheetData>
  <mergeCells count="3">
    <mergeCell ref="B1:F1"/>
    <mergeCell ref="B4:D4"/>
    <mergeCell ref="D35:E35"/>
  </mergeCells>
  <printOptions horizontalCentered="1"/>
  <pageMargins left="0.70866141732283472" right="0.70866141732283472" top="1.5748031496062993" bottom="0.98425196850393704" header="0.98425196850393704" footer="0.51181102362204722"/>
  <pageSetup scale="81" orientation="portrait" r:id="rId1"/>
  <headerFooter alignWithMargins="0">
    <oddHeader xml:space="preserve">&amp;C&amp;"Arial,Negrita"&amp;12ANÁLISIS DE PRECIOS UNITARIOS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E26D9-6787-486F-A0A0-C96930389E7E}">
  <sheetPr>
    <tabColor theme="4" tint="0.59999389629810485"/>
    <pageSetUpPr fitToPage="1"/>
  </sheetPr>
  <dimension ref="A1:G36"/>
  <sheetViews>
    <sheetView showGridLines="0" view="pageBreakPreview" zoomScale="80" zoomScaleNormal="120" zoomScaleSheetLayoutView="80" workbookViewId="0">
      <selection activeCell="A3" sqref="A3:A40"/>
    </sheetView>
  </sheetViews>
  <sheetFormatPr baseColWidth="10" defaultColWidth="11.453125" defaultRowHeight="12.5"/>
  <cols>
    <col min="1" max="1" width="11.453125" style="64"/>
    <col min="2" max="2" width="48.26953125" style="64" customWidth="1"/>
    <col min="3" max="3" width="11.453125" style="64"/>
    <col min="4" max="5" width="11.7265625" style="64" customWidth="1"/>
    <col min="6" max="6" width="15" style="64" customWidth="1"/>
    <col min="7" max="7" width="15.26953125" style="64" customWidth="1"/>
    <col min="8" max="8" width="6.26953125" style="64" customWidth="1"/>
    <col min="9" max="9" width="11.453125" style="64"/>
    <col min="10" max="10" width="11.7265625" style="64" bestFit="1" customWidth="1"/>
    <col min="11" max="16384" width="11.453125" style="64"/>
  </cols>
  <sheetData>
    <row r="1" spans="1:7" ht="18.75" customHeight="1">
      <c r="B1" s="499" t="str">
        <f>+'PRESUPUESTO GENERAL SISFV'!A1</f>
        <v>IMPLEMENTACIÓN DE SOLUCIONES ENERGÉTICAS SOSTENIBLES CON FUENTES NO CONVENCIONALES PARA LAS  COMUNIDADES RURALES DEL MUNICIPIO CARTAGENA DEL CHAIRÁ, DEPARTAMENTO DEL CAQUETÁ</v>
      </c>
      <c r="C1" s="499"/>
      <c r="D1" s="499"/>
      <c r="E1" s="499"/>
      <c r="F1" s="499"/>
      <c r="G1" s="499"/>
    </row>
    <row r="3" spans="1:7" ht="12.75" customHeight="1">
      <c r="B3" s="65" t="s">
        <v>556</v>
      </c>
      <c r="C3" s="66" t="str">
        <f>+'PRESUPUESTO GENERAL SISFV'!A6</f>
        <v>1.2</v>
      </c>
      <c r="D3" s="66"/>
      <c r="E3" s="66"/>
      <c r="F3" s="66"/>
      <c r="G3" s="67" t="s">
        <v>557</v>
      </c>
    </row>
    <row r="4" spans="1:7" ht="99.65" customHeight="1">
      <c r="B4" s="500" t="str">
        <f>+'PRESUPUESTO GENERAL SISFV'!B6</f>
        <v>Suministro, transporte e instalación de Panel Solar de 670 W Mono PERC ( 3 unidades) incluido en TIER-1 incluye, cable solar XLPE 6mm2, par de conectores MC4 y caja de conexión IP68 con diodos de paso con las siguientes características: ƞ ≥ 20%; tolerancia +3% condiciones STC. Garantía de producción a 12 años ≥ 90% y ≥ 80% a 25 años, temperatura de trabajo de -40ºC +80ºC, IEC61205. Certificación de conformidad de producto RETIE</v>
      </c>
      <c r="C4" s="506"/>
      <c r="D4" s="506"/>
      <c r="E4" s="507"/>
      <c r="G4" s="68" t="str">
        <f>+'PRESUPUESTO GENERAL SISFV'!C6</f>
        <v>UN</v>
      </c>
    </row>
    <row r="5" spans="1:7" ht="13">
      <c r="B5" s="69"/>
      <c r="G5" s="70"/>
    </row>
    <row r="6" spans="1:7" ht="13">
      <c r="B6" s="71" t="s">
        <v>558</v>
      </c>
    </row>
    <row r="7" spans="1:7" ht="13">
      <c r="A7" s="134" t="s">
        <v>204</v>
      </c>
      <c r="B7" s="72" t="s">
        <v>97</v>
      </c>
      <c r="C7" s="73" t="s">
        <v>364</v>
      </c>
      <c r="D7" s="73" t="s">
        <v>126</v>
      </c>
      <c r="E7" s="73" t="s">
        <v>483</v>
      </c>
      <c r="F7" s="73" t="s">
        <v>365</v>
      </c>
      <c r="G7" s="73" t="s">
        <v>366</v>
      </c>
    </row>
    <row r="8" spans="1:7" ht="25">
      <c r="A8" s="135">
        <v>361</v>
      </c>
      <c r="B8" s="104" t="str">
        <f>VLOOKUP(A8,Materiales3[],3,FALSE)</f>
        <v>Módulo solar fotovoltaico monocristalino tipo PERC "Half Cell" TIER 1 de 670 Wp</v>
      </c>
      <c r="C8" s="75" t="str">
        <f>VLOOKUP(A8,Materiales3[],4,FALSE)</f>
        <v>UN</v>
      </c>
      <c r="D8" s="76">
        <v>3</v>
      </c>
      <c r="E8" s="75">
        <f>VLOOKUP(A8,Materiales3[],5,FALSE)*D8</f>
        <v>115.5</v>
      </c>
      <c r="F8" s="77">
        <f>VLOOKUP(A8,Materiales3[],6,FALSE)</f>
        <v>0</v>
      </c>
      <c r="G8" s="77">
        <f>D8*F8</f>
        <v>0</v>
      </c>
    </row>
    <row r="9" spans="1:7" ht="14.5">
      <c r="A9" s="7">
        <v>3</v>
      </c>
      <c r="B9" s="104" t="str">
        <f>VLOOKUP(A9,Materiales3[],3,FALSE)</f>
        <v>Conector MC4 (Macho o Hembra)</v>
      </c>
      <c r="C9" s="75" t="str">
        <f>VLOOKUP(A9,Materiales3[],4,FALSE)</f>
        <v>UN</v>
      </c>
      <c r="D9" s="76">
        <v>4</v>
      </c>
      <c r="E9" s="75">
        <f>VLOOKUP(A9,Materiales3[],5,FALSE)*D9</f>
        <v>0.4</v>
      </c>
      <c r="F9" s="77">
        <f>VLOOKUP(A9,Materiales3[],6,FALSE)</f>
        <v>0</v>
      </c>
      <c r="G9" s="77">
        <f t="shared" ref="G9" si="0">D9*F9</f>
        <v>0</v>
      </c>
    </row>
    <row r="10" spans="1:7" ht="14.5">
      <c r="A10" s="7">
        <v>397</v>
      </c>
      <c r="B10" s="104" t="str">
        <f>VLOOKUP(A10,Materiales3[],3,FALSE)</f>
        <v>caja de conexión IP 68</v>
      </c>
      <c r="C10" s="75" t="str">
        <f>VLOOKUP(A10,Materiales3[],4,FALSE)</f>
        <v>UN</v>
      </c>
      <c r="D10" s="107">
        <v>1</v>
      </c>
      <c r="E10" s="75">
        <f>VLOOKUP(A10,Materiales3[],5,FALSE)*D10</f>
        <v>0.5</v>
      </c>
      <c r="F10" s="77">
        <f>VLOOKUP(A10,Materiales3[],6,FALSE)</f>
        <v>0</v>
      </c>
      <c r="G10" s="77">
        <f t="shared" ref="G10:G12" si="1">D10*F10</f>
        <v>0</v>
      </c>
    </row>
    <row r="11" spans="1:7" ht="14.5">
      <c r="A11" s="7">
        <v>24</v>
      </c>
      <c r="B11" s="104" t="str">
        <f>VLOOKUP(A11,Materiales3[],3,FALSE)</f>
        <v>Borna para ponchar varios calibres y terminales</v>
      </c>
      <c r="C11" s="75" t="str">
        <f>VLOOKUP(A11,Materiales3[],4,FALSE)</f>
        <v>UN</v>
      </c>
      <c r="D11" s="107">
        <v>2</v>
      </c>
      <c r="E11" s="75">
        <f>VLOOKUP(A11,Materiales3[],5,FALSE)*D11</f>
        <v>1.6E-2</v>
      </c>
      <c r="F11" s="77">
        <f>VLOOKUP(A11,Materiales3[],6,FALSE)</f>
        <v>0</v>
      </c>
      <c r="G11" s="77">
        <f t="shared" si="1"/>
        <v>0</v>
      </c>
    </row>
    <row r="12" spans="1:7" ht="14.5">
      <c r="A12" s="7">
        <v>234</v>
      </c>
      <c r="B12" s="104" t="str">
        <f>VLOOKUP(A12,Materiales3[],3,FALSE)</f>
        <v>Cable Cu solar XLPE 6mm 1kV 120 °C</v>
      </c>
      <c r="C12" s="75" t="str">
        <f>VLOOKUP(A12,Materiales3[],4,FALSE)</f>
        <v>ML</v>
      </c>
      <c r="D12" s="107">
        <f>1.33*4</f>
        <v>5.32</v>
      </c>
      <c r="E12" s="75">
        <f>VLOOKUP(A12,Materiales3[],5,FALSE)*D12</f>
        <v>0.34686400000000001</v>
      </c>
      <c r="F12" s="77">
        <f>VLOOKUP(A12,Materiales3[],6,FALSE)</f>
        <v>0</v>
      </c>
      <c r="G12" s="77">
        <f t="shared" si="1"/>
        <v>0</v>
      </c>
    </row>
    <row r="13" spans="1:7" ht="13">
      <c r="D13" s="82"/>
      <c r="E13" s="82"/>
      <c r="F13" s="83" t="s">
        <v>559</v>
      </c>
      <c r="G13" s="84">
        <f>SUM(G8:G12)</f>
        <v>0</v>
      </c>
    </row>
    <row r="14" spans="1:7">
      <c r="G14" s="108"/>
    </row>
    <row r="15" spans="1:7" ht="13">
      <c r="B15" s="85" t="s">
        <v>560</v>
      </c>
      <c r="G15" s="109"/>
    </row>
    <row r="16" spans="1:7" ht="13">
      <c r="A16" s="134" t="s">
        <v>204</v>
      </c>
      <c r="B16" s="72" t="s">
        <v>97</v>
      </c>
      <c r="C16" s="73" t="s">
        <v>2</v>
      </c>
      <c r="D16" s="73" t="s">
        <v>561</v>
      </c>
      <c r="E16" s="73"/>
      <c r="F16" s="73" t="s">
        <v>99</v>
      </c>
      <c r="G16" s="73" t="s">
        <v>366</v>
      </c>
    </row>
    <row r="17" spans="1:7" ht="14.5">
      <c r="A17" s="135">
        <v>1</v>
      </c>
      <c r="B17" s="78" t="str">
        <f>VLOOKUP(A17,Equipoyherramienta[],2,FALSE)</f>
        <v>Herramienta menor</v>
      </c>
      <c r="C17" s="79" t="str">
        <f>VLOOKUP(A17,Equipoyherramienta[],3,FALSE)</f>
        <v>UN</v>
      </c>
      <c r="D17" s="86">
        <f>VLOOKUP(A17,Equipoyherramienta[],4,FALSE)</f>
        <v>0</v>
      </c>
      <c r="E17" s="86"/>
      <c r="F17" s="106">
        <f>+RENDIMIENTOS!$C$15/3</f>
        <v>0</v>
      </c>
      <c r="G17" s="86" t="e">
        <f>ROUND(D17/F17,0)</f>
        <v>#DIV/0!</v>
      </c>
    </row>
    <row r="18" spans="1:7">
      <c r="B18" s="78"/>
      <c r="C18" s="79"/>
      <c r="D18" s="81"/>
      <c r="E18" s="81"/>
      <c r="F18" s="87"/>
      <c r="G18" s="88"/>
    </row>
    <row r="19" spans="1:7">
      <c r="B19" s="78"/>
      <c r="C19" s="79"/>
      <c r="D19" s="81"/>
      <c r="E19" s="81"/>
      <c r="F19" s="87"/>
      <c r="G19" s="88"/>
    </row>
    <row r="20" spans="1:7" ht="13">
      <c r="D20" s="82"/>
      <c r="E20" s="82"/>
      <c r="F20" s="83" t="s">
        <v>559</v>
      </c>
      <c r="G20" s="84" t="e">
        <f>SUM(G17:G19)</f>
        <v>#DIV/0!</v>
      </c>
    </row>
    <row r="21" spans="1:7" ht="13">
      <c r="D21" s="82"/>
      <c r="E21" s="82"/>
      <c r="F21" s="82"/>
      <c r="G21" s="89"/>
    </row>
    <row r="22" spans="1:7" ht="13">
      <c r="B22" s="71" t="s">
        <v>562</v>
      </c>
      <c r="G22" s="90"/>
    </row>
    <row r="23" spans="1:7" ht="13">
      <c r="A23" s="134" t="s">
        <v>204</v>
      </c>
      <c r="B23" s="72" t="s">
        <v>97</v>
      </c>
      <c r="C23" s="73" t="s">
        <v>364</v>
      </c>
      <c r="D23" s="73" t="s">
        <v>483</v>
      </c>
      <c r="E23" s="73"/>
      <c r="F23" s="73" t="s">
        <v>570</v>
      </c>
      <c r="G23" s="91" t="s">
        <v>366</v>
      </c>
    </row>
    <row r="24" spans="1:7" ht="50">
      <c r="A24" s="135">
        <v>6</v>
      </c>
      <c r="B24" s="92" t="str">
        <f>VLOOKUP(A24,Transp.[],2,FALSE)</f>
        <v>Carga terrestre desde Bogota hasta Usuario, incluye cargues, descargues, cruces de río, transporte semoviente, transporte fluvia, transporte en vehículo de carga pesada y liviano y cualquier otro tranposte.</v>
      </c>
      <c r="C24" s="75" t="s">
        <v>571</v>
      </c>
      <c r="D24" s="76">
        <f>SUM(E8:E12)</f>
        <v>116.76286400000001</v>
      </c>
      <c r="E24" s="76"/>
      <c r="F24" s="94">
        <f>VLOOKUP(A24,Transp.[],6,FALSE)</f>
        <v>0</v>
      </c>
      <c r="G24" s="94">
        <f>D24*F24</f>
        <v>0</v>
      </c>
    </row>
    <row r="25" spans="1:7" ht="13.15" customHeight="1">
      <c r="A25" s="135"/>
      <c r="B25" s="92"/>
      <c r="C25" s="75"/>
      <c r="D25" s="76"/>
      <c r="E25" s="76"/>
      <c r="F25" s="94"/>
      <c r="G25" s="94"/>
    </row>
    <row r="26" spans="1:7" ht="13.15" customHeight="1">
      <c r="A26" s="135"/>
      <c r="B26" s="92"/>
      <c r="C26" s="75"/>
      <c r="D26" s="76"/>
      <c r="E26" s="76"/>
      <c r="F26" s="94"/>
      <c r="G26" s="94"/>
    </row>
    <row r="27" spans="1:7" ht="13">
      <c r="D27" s="82"/>
      <c r="E27" s="82"/>
      <c r="F27" s="96" t="s">
        <v>559</v>
      </c>
      <c r="G27" s="84">
        <f>SUM(G24:G26)</f>
        <v>0</v>
      </c>
    </row>
    <row r="29" spans="1:7" ht="13">
      <c r="B29" s="71" t="s">
        <v>566</v>
      </c>
      <c r="D29" s="97"/>
      <c r="E29" s="97"/>
      <c r="F29" s="98"/>
      <c r="G29" s="90"/>
    </row>
    <row r="30" spans="1:7" s="82" customFormat="1" ht="13">
      <c r="A30" s="134" t="s">
        <v>204</v>
      </c>
      <c r="B30" s="73" t="s">
        <v>97</v>
      </c>
      <c r="C30" s="73" t="s">
        <v>567</v>
      </c>
      <c r="D30" s="73" t="s">
        <v>568</v>
      </c>
      <c r="E30" s="73"/>
      <c r="F30" s="73" t="s">
        <v>99</v>
      </c>
      <c r="G30" s="91" t="s">
        <v>366</v>
      </c>
    </row>
    <row r="31" spans="1:7" ht="14.5">
      <c r="A31" s="135">
        <v>1</v>
      </c>
      <c r="B31" s="99" t="str">
        <f>VLOOKUP(A31,ManoObra[],2,FALSE)</f>
        <v>Electricista</v>
      </c>
      <c r="C31" s="100">
        <f>VLOOKUP(A31,ManoObra[],8,FALSE)</f>
        <v>0</v>
      </c>
      <c r="D31" s="87">
        <f>+FP!E27</f>
        <v>0</v>
      </c>
      <c r="E31" s="87"/>
      <c r="F31" s="106">
        <f>F17</f>
        <v>0</v>
      </c>
      <c r="G31" s="86" t="e">
        <f>ROUND(C31*D31/F31,0)</f>
        <v>#DIV/0!</v>
      </c>
    </row>
    <row r="32" spans="1:7" ht="14.5">
      <c r="A32" s="135">
        <v>2</v>
      </c>
      <c r="B32" s="99" t="str">
        <f>VLOOKUP(A32,ManoObra[],2,FALSE)</f>
        <v>Ayudante</v>
      </c>
      <c r="C32" s="100">
        <f>VLOOKUP(A32,ManoObra[],8,FALSE)</f>
        <v>0</v>
      </c>
      <c r="D32" s="87">
        <f>+FP!E27</f>
        <v>0</v>
      </c>
      <c r="E32" s="87"/>
      <c r="F32" s="106">
        <f>F17</f>
        <v>0</v>
      </c>
      <c r="G32" s="86" t="e">
        <f>ROUND(C32*D32/F32,0)</f>
        <v>#DIV/0!</v>
      </c>
    </row>
    <row r="33" spans="1:7" ht="14.5">
      <c r="A33" s="135"/>
      <c r="B33" s="105"/>
      <c r="C33" s="100"/>
      <c r="D33" s="87"/>
      <c r="E33" s="87"/>
      <c r="F33" s="80"/>
      <c r="G33" s="86"/>
    </row>
    <row r="34" spans="1:7" ht="13">
      <c r="D34" s="82"/>
      <c r="E34" s="82"/>
      <c r="F34" s="96" t="s">
        <v>559</v>
      </c>
      <c r="G34" s="110" t="e">
        <f>SUM(G31:G33)</f>
        <v>#DIV/0!</v>
      </c>
    </row>
    <row r="35" spans="1:7" ht="13">
      <c r="D35" s="82"/>
      <c r="E35" s="82"/>
      <c r="G35" s="90"/>
    </row>
    <row r="36" spans="1:7" ht="12.75" customHeight="1">
      <c r="B36" s="82"/>
      <c r="D36" s="503" t="s">
        <v>569</v>
      </c>
      <c r="E36" s="505"/>
      <c r="F36" s="504"/>
      <c r="G36" s="101" t="e">
        <f>G13+G20+G27+G34</f>
        <v>#DIV/0!</v>
      </c>
    </row>
  </sheetData>
  <mergeCells count="3">
    <mergeCell ref="B1:G1"/>
    <mergeCell ref="D36:F36"/>
    <mergeCell ref="B4:E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FED31-C95E-4413-BF3B-1A84DB915BAD}">
  <sheetPr>
    <tabColor theme="4" tint="0.59999389629810485"/>
    <pageSetUpPr fitToPage="1"/>
  </sheetPr>
  <dimension ref="A1:G41"/>
  <sheetViews>
    <sheetView showGridLines="0" view="pageBreakPreview" zoomScale="80" zoomScaleNormal="120" zoomScaleSheetLayoutView="80" workbookViewId="0">
      <selection activeCell="A4" sqref="A4:A42"/>
    </sheetView>
  </sheetViews>
  <sheetFormatPr baseColWidth="10" defaultColWidth="11.453125" defaultRowHeight="12.5"/>
  <cols>
    <col min="1" max="1" width="11.453125" style="64"/>
    <col min="2" max="2" width="48.26953125" style="64" customWidth="1"/>
    <col min="3" max="3" width="11.453125" style="64"/>
    <col min="4" max="5" width="11.7265625" style="64" customWidth="1"/>
    <col min="6" max="6" width="15" style="64" customWidth="1"/>
    <col min="7" max="7" width="15.26953125" style="64" customWidth="1"/>
    <col min="8" max="8" width="6.26953125" style="64" customWidth="1"/>
    <col min="9" max="9" width="11.453125" style="64"/>
    <col min="10" max="10" width="11.7265625" style="64" bestFit="1" customWidth="1"/>
    <col min="11" max="16384" width="11.453125" style="64"/>
  </cols>
  <sheetData>
    <row r="1" spans="1:7" ht="18.75" customHeight="1">
      <c r="B1" s="499" t="str">
        <f>+'PRESUPUESTO GENERAL SISFV'!A1</f>
        <v>IMPLEMENTACIÓN DE SOLUCIONES ENERGÉTICAS SOSTENIBLES CON FUENTES NO CONVENCIONALES PARA LAS  COMUNIDADES RURALES DEL MUNICIPIO CARTAGENA DEL CHAIRÁ, DEPARTAMENTO DEL CAQUETÁ</v>
      </c>
      <c r="C1" s="499"/>
      <c r="D1" s="499"/>
      <c r="E1" s="499"/>
      <c r="F1" s="499"/>
      <c r="G1" s="499"/>
    </row>
    <row r="3" spans="1:7" ht="12.75" customHeight="1">
      <c r="B3" s="65" t="s">
        <v>556</v>
      </c>
      <c r="C3" s="66" t="str">
        <f>+'PRESUPUESTO GENERAL SISFV'!A7</f>
        <v>1.3</v>
      </c>
      <c r="D3" s="66"/>
      <c r="E3" s="66"/>
      <c r="F3" s="66"/>
      <c r="G3" s="67" t="s">
        <v>557</v>
      </c>
    </row>
    <row r="4" spans="1:7" ht="99.65" customHeight="1">
      <c r="B4" s="500" t="str">
        <f>+'PRESUPUESTO GENERAL SISFV'!B7</f>
        <v>Acometida principal eléctrica subterránea TIPO I desde los módulos solares hasta el gabinete de diseño especial. Incluye: Hasta 6 m de tubería PVC de 3/4" inmersa dentro del tubo de soporte del panel y subterránea, hasta 2 m de tubería IMC de 3/4" a la vista hasta llegar al gabinete, 2 curvas PVC de 3/4", 2 terminales para tubo IMC de 3/4", 2 curvas galvanizada IMC de 3/4" y hasta 16 m de cable 10 AWG XLPE, 7 m de cable de cobre color verde No. 6 AWG THHN y accesorios de conexión.</v>
      </c>
      <c r="C4" s="506"/>
      <c r="D4" s="506"/>
      <c r="E4" s="507"/>
      <c r="G4" s="68" t="str">
        <f>+'PRESUPUESTO GENERAL SISFV'!C7</f>
        <v>UN</v>
      </c>
    </row>
    <row r="5" spans="1:7" ht="13">
      <c r="B5" s="69"/>
      <c r="G5" s="70"/>
    </row>
    <row r="6" spans="1:7" ht="13">
      <c r="B6" s="71" t="s">
        <v>558</v>
      </c>
    </row>
    <row r="7" spans="1:7" ht="13">
      <c r="A7" s="134" t="s">
        <v>204</v>
      </c>
      <c r="B7" s="72" t="s">
        <v>97</v>
      </c>
      <c r="C7" s="73" t="s">
        <v>364</v>
      </c>
      <c r="D7" s="73" t="s">
        <v>126</v>
      </c>
      <c r="E7" s="73" t="s">
        <v>483</v>
      </c>
      <c r="F7" s="73" t="s">
        <v>365</v>
      </c>
      <c r="G7" s="73" t="s">
        <v>366</v>
      </c>
    </row>
    <row r="8" spans="1:7" ht="14.5">
      <c r="A8" s="135">
        <v>111</v>
      </c>
      <c r="B8" s="104" t="str">
        <f>VLOOKUP(A8,Materiales3[],3,FALSE)</f>
        <v>Cinta roja</v>
      </c>
      <c r="C8" s="75" t="str">
        <f>VLOOKUP(A8,Materiales3[],4,FALSE)</f>
        <v>ML</v>
      </c>
      <c r="D8" s="76">
        <v>6</v>
      </c>
      <c r="E8" s="75">
        <f>VLOOKUP(A8,Materiales3[],5,FALSE)*D8</f>
        <v>0.06</v>
      </c>
      <c r="F8" s="77">
        <f>VLOOKUP(A8,Materiales3[],6,FALSE)</f>
        <v>0</v>
      </c>
      <c r="G8" s="77">
        <f>D8*F8</f>
        <v>0</v>
      </c>
    </row>
    <row r="9" spans="1:7" ht="14.5">
      <c r="A9" s="7">
        <v>83</v>
      </c>
      <c r="B9" s="104" t="str">
        <f>VLOOKUP(A9,Materiales3[],3,FALSE)</f>
        <v>Tuberia conduit PVC tipo A 3/4"</v>
      </c>
      <c r="C9" s="75" t="str">
        <f>VLOOKUP(A9,Materiales3[],4,FALSE)</f>
        <v>ML</v>
      </c>
      <c r="D9" s="76">
        <v>6</v>
      </c>
      <c r="E9" s="75">
        <f>VLOOKUP(A9,Materiales3[],5,FALSE)*D9</f>
        <v>1.1599999999999999</v>
      </c>
      <c r="F9" s="77">
        <f>VLOOKUP(A9,Materiales3[],6,FALSE)</f>
        <v>0</v>
      </c>
      <c r="G9" s="77">
        <f t="shared" ref="G9:G17" si="0">D9*F9</f>
        <v>0</v>
      </c>
    </row>
    <row r="10" spans="1:7" ht="14.5">
      <c r="A10" s="7">
        <v>133</v>
      </c>
      <c r="B10" s="104" t="str">
        <f>VLOOKUP(A10,Materiales3[],3,FALSE)</f>
        <v>Uniones, curvas y terminales IMC. Varios calibres</v>
      </c>
      <c r="C10" s="75" t="str">
        <f>VLOOKUP(A10,Materiales3[],4,FALSE)</f>
        <v>UN</v>
      </c>
      <c r="D10" s="107">
        <v>1</v>
      </c>
      <c r="E10" s="75">
        <f>VLOOKUP(A10,Materiales3[],5,FALSE)*D10</f>
        <v>0.18</v>
      </c>
      <c r="F10" s="77">
        <f>VLOOKUP(A10,Materiales3[],6,FALSE)</f>
        <v>0</v>
      </c>
      <c r="G10" s="77">
        <f t="shared" si="0"/>
        <v>0</v>
      </c>
    </row>
    <row r="11" spans="1:7" ht="14.5">
      <c r="A11" s="7">
        <v>134</v>
      </c>
      <c r="B11" s="104" t="str">
        <f>VLOOKUP(A11,Materiales3[],3,FALSE)</f>
        <v>Tuberia conduit IMC 3/4"</v>
      </c>
      <c r="C11" s="75" t="str">
        <f>VLOOKUP(A11,Materiales3[],4,FALSE)</f>
        <v>ML</v>
      </c>
      <c r="D11" s="107">
        <v>2</v>
      </c>
      <c r="E11" s="75">
        <f>VLOOKUP(A11,Materiales3[],5,FALSE)*D11</f>
        <v>3.4466666666666668</v>
      </c>
      <c r="F11" s="77">
        <f>VLOOKUP(A11,Materiales3[],6,FALSE)</f>
        <v>0</v>
      </c>
      <c r="G11" s="77">
        <f t="shared" si="0"/>
        <v>0</v>
      </c>
    </row>
    <row r="12" spans="1:7" ht="14.5">
      <c r="A12" s="7">
        <v>406</v>
      </c>
      <c r="B12" s="104" t="str">
        <f>VLOOKUP(A12,Materiales3[],3,FALSE)</f>
        <v>Unión conduit metalica EMT 3/4"</v>
      </c>
      <c r="C12" s="75" t="str">
        <f>VLOOKUP(A12,Materiales3[],4,FALSE)</f>
        <v>UN</v>
      </c>
      <c r="D12" s="107">
        <v>2</v>
      </c>
      <c r="E12" s="75">
        <f>VLOOKUP(A12,Materiales3[],5,FALSE)*D12</f>
        <v>0.11600000000000001</v>
      </c>
      <c r="F12" s="77">
        <f>VLOOKUP(A12,Materiales3[],6,FALSE)</f>
        <v>0</v>
      </c>
      <c r="G12" s="77">
        <f t="shared" ref="G12:G13" si="1">D12*F12</f>
        <v>0</v>
      </c>
    </row>
    <row r="13" spans="1:7" ht="14.5">
      <c r="A13" s="7">
        <v>407</v>
      </c>
      <c r="B13" s="104" t="str">
        <f>VLOOKUP(A13,Materiales3[],3,FALSE)</f>
        <v>Terminal conduit metalica EMT 3/4"</v>
      </c>
      <c r="C13" s="75" t="str">
        <f>VLOOKUP(A13,Materiales3[],4,FALSE)</f>
        <v>UN</v>
      </c>
      <c r="D13" s="107">
        <v>2</v>
      </c>
      <c r="E13" s="75">
        <f>VLOOKUP(A13,Materiales3[],5,FALSE)*D13</f>
        <v>0.11600000000000001</v>
      </c>
      <c r="F13" s="77">
        <f>VLOOKUP(A13,Materiales3[],6,FALSE)</f>
        <v>0</v>
      </c>
      <c r="G13" s="77">
        <f t="shared" si="1"/>
        <v>0</v>
      </c>
    </row>
    <row r="14" spans="1:7" ht="14.5">
      <c r="A14" s="7">
        <v>411</v>
      </c>
      <c r="B14" s="104" t="str">
        <f>VLOOKUP(A14,Materiales3[],3,FALSE)</f>
        <v>Curva 90 x 3/4 pulgada conduit PVC</v>
      </c>
      <c r="C14" s="75" t="str">
        <f>VLOOKUP(A14,Materiales3[],4,FALSE)</f>
        <v>UN</v>
      </c>
      <c r="D14" s="107">
        <v>2</v>
      </c>
      <c r="E14" s="75">
        <f>VLOOKUP(A14,Materiales3[],5,FALSE)*D14</f>
        <v>0.06</v>
      </c>
      <c r="F14" s="77">
        <f>VLOOKUP(A14,Materiales3[],6,FALSE)</f>
        <v>0</v>
      </c>
      <c r="G14" s="77">
        <f t="shared" ref="G14" si="2">D14*F14</f>
        <v>0</v>
      </c>
    </row>
    <row r="15" spans="1:7" ht="14.5">
      <c r="A15" s="7">
        <v>24</v>
      </c>
      <c r="B15" s="104" t="str">
        <f>VLOOKUP(A15,Materiales3[],3,FALSE)</f>
        <v>Borna para ponchar varios calibres y terminales</v>
      </c>
      <c r="C15" s="75" t="str">
        <f>VLOOKUP(A15,Materiales3[],4,FALSE)</f>
        <v>UN</v>
      </c>
      <c r="D15" s="107">
        <v>2</v>
      </c>
      <c r="E15" s="75">
        <f>VLOOKUP(A15,Materiales3[],5,FALSE)*D15</f>
        <v>1.6E-2</v>
      </c>
      <c r="F15" s="77">
        <f>VLOOKUP(A15,Materiales3[],6,FALSE)</f>
        <v>0</v>
      </c>
      <c r="G15" s="77">
        <f t="shared" ref="G15:G16" si="3">D15*F15</f>
        <v>0</v>
      </c>
    </row>
    <row r="16" spans="1:7" ht="14.5">
      <c r="A16" s="135">
        <v>241</v>
      </c>
      <c r="B16" s="104" t="str">
        <f>VLOOKUP(A16,Materiales3[],3,FALSE)&amp;" Verde"</f>
        <v>Cable Cu THHN 6 AWG Verde</v>
      </c>
      <c r="C16" s="75" t="str">
        <f>VLOOKUP(A16,Materiales3[],4,FALSE)</f>
        <v>ML</v>
      </c>
      <c r="D16" s="107">
        <f>+(3+3+1)*1</f>
        <v>7</v>
      </c>
      <c r="E16" s="75">
        <f>VLOOKUP(A16,Materiales3[],5,FALSE)*D16</f>
        <v>1.1760000000000002</v>
      </c>
      <c r="F16" s="77">
        <f>VLOOKUP(A16,Materiales3[],6,FALSE)</f>
        <v>0</v>
      </c>
      <c r="G16" s="77">
        <f t="shared" si="3"/>
        <v>0</v>
      </c>
    </row>
    <row r="17" spans="1:7" ht="14.5">
      <c r="A17" s="7">
        <v>131</v>
      </c>
      <c r="B17" s="104" t="str">
        <f>VLOOKUP(A17,Materiales3[],3,FALSE)</f>
        <v>Cable Cu solar XLPE 10 AWG 1kV 120 °C</v>
      </c>
      <c r="C17" s="75" t="str">
        <f>VLOOKUP(A17,Materiales3[],4,FALSE)</f>
        <v>ML</v>
      </c>
      <c r="D17" s="107">
        <f>+(2+3+3)*2</f>
        <v>16</v>
      </c>
      <c r="E17" s="75">
        <f>VLOOKUP(A17,Materiales3[],5,FALSE)*D17</f>
        <v>0.93120000000000003</v>
      </c>
      <c r="F17" s="77">
        <f>VLOOKUP(A17,Materiales3[],6,FALSE)</f>
        <v>0</v>
      </c>
      <c r="G17" s="77">
        <f t="shared" si="0"/>
        <v>0</v>
      </c>
    </row>
    <row r="18" spans="1:7" ht="13">
      <c r="D18" s="82"/>
      <c r="E18" s="82"/>
      <c r="F18" s="83" t="s">
        <v>559</v>
      </c>
      <c r="G18" s="84">
        <f>SUM(G8:G17)</f>
        <v>0</v>
      </c>
    </row>
    <row r="19" spans="1:7">
      <c r="G19" s="108"/>
    </row>
    <row r="20" spans="1:7" ht="13">
      <c r="B20" s="85" t="s">
        <v>560</v>
      </c>
      <c r="G20" s="109"/>
    </row>
    <row r="21" spans="1:7" ht="13">
      <c r="A21" s="134" t="s">
        <v>204</v>
      </c>
      <c r="B21" s="72" t="s">
        <v>97</v>
      </c>
      <c r="C21" s="73" t="s">
        <v>2</v>
      </c>
      <c r="D21" s="73" t="s">
        <v>561</v>
      </c>
      <c r="E21" s="73"/>
      <c r="F21" s="73" t="s">
        <v>99</v>
      </c>
      <c r="G21" s="73" t="s">
        <v>366</v>
      </c>
    </row>
    <row r="22" spans="1:7" ht="14.5">
      <c r="A22" s="135">
        <v>1</v>
      </c>
      <c r="B22" s="78" t="str">
        <f>VLOOKUP(A22,Equipoyherramienta[],2,FALSE)</f>
        <v>Herramienta menor</v>
      </c>
      <c r="C22" s="79" t="str">
        <f>VLOOKUP(A22,Equipoyherramienta[],3,FALSE)</f>
        <v>UN</v>
      </c>
      <c r="D22" s="86">
        <f>VLOOKUP(A22,Equipoyherramienta[],4,FALSE)</f>
        <v>0</v>
      </c>
      <c r="E22" s="86"/>
      <c r="F22" s="106">
        <f>+RENDIMIENTOS!C16-0.5</f>
        <v>-0.5</v>
      </c>
      <c r="G22" s="86">
        <f>ROUND(D22/F22,0)</f>
        <v>0</v>
      </c>
    </row>
    <row r="23" spans="1:7">
      <c r="B23" s="78"/>
      <c r="C23" s="79"/>
      <c r="D23" s="81"/>
      <c r="E23" s="81"/>
      <c r="F23" s="87"/>
      <c r="G23" s="88"/>
    </row>
    <row r="24" spans="1:7">
      <c r="B24" s="78"/>
      <c r="C24" s="79"/>
      <c r="D24" s="81"/>
      <c r="E24" s="81"/>
      <c r="F24" s="87"/>
      <c r="G24" s="88"/>
    </row>
    <row r="25" spans="1:7" ht="13">
      <c r="D25" s="82"/>
      <c r="E25" s="82"/>
      <c r="F25" s="83" t="s">
        <v>559</v>
      </c>
      <c r="G25" s="84">
        <f>SUM(G22:G24)</f>
        <v>0</v>
      </c>
    </row>
    <row r="26" spans="1:7" ht="13">
      <c r="D26" s="82"/>
      <c r="E26" s="82"/>
      <c r="F26" s="82"/>
      <c r="G26" s="89"/>
    </row>
    <row r="27" spans="1:7" ht="13">
      <c r="B27" s="71" t="s">
        <v>562</v>
      </c>
      <c r="G27" s="90"/>
    </row>
    <row r="28" spans="1:7" ht="13">
      <c r="A28" s="134" t="s">
        <v>204</v>
      </c>
      <c r="B28" s="72" t="s">
        <v>97</v>
      </c>
      <c r="C28" s="73" t="s">
        <v>364</v>
      </c>
      <c r="D28" s="73" t="s">
        <v>483</v>
      </c>
      <c r="E28" s="73"/>
      <c r="F28" s="73" t="s">
        <v>570</v>
      </c>
      <c r="G28" s="91" t="s">
        <v>366</v>
      </c>
    </row>
    <row r="29" spans="1:7" ht="50">
      <c r="A29" s="135">
        <v>6</v>
      </c>
      <c r="B29" s="92" t="str">
        <f>VLOOKUP(A29,Transp.[],2,FALSE)</f>
        <v>Carga terrestre desde Bogota hasta Usuario, incluye cargues, descargues, cruces de río, transporte semoviente, transporte fluvia, transporte en vehículo de carga pesada y liviano y cualquier otro tranposte.</v>
      </c>
      <c r="C29" s="75" t="s">
        <v>571</v>
      </c>
      <c r="D29" s="76">
        <f>SUM(E8:E17)</f>
        <v>7.2618666666666662</v>
      </c>
      <c r="E29" s="76"/>
      <c r="F29" s="94">
        <f>VLOOKUP(A29,Transp.[],6,FALSE)</f>
        <v>0</v>
      </c>
      <c r="G29" s="94">
        <f>D29*F29</f>
        <v>0</v>
      </c>
    </row>
    <row r="30" spans="1:7" ht="13.15" customHeight="1">
      <c r="A30" s="135"/>
      <c r="B30" s="92"/>
      <c r="C30" s="75"/>
      <c r="D30" s="76"/>
      <c r="E30" s="76"/>
      <c r="F30" s="94"/>
      <c r="G30" s="94"/>
    </row>
    <row r="31" spans="1:7" ht="13.15" customHeight="1">
      <c r="A31" s="135"/>
      <c r="B31" s="92"/>
      <c r="C31" s="75"/>
      <c r="D31" s="76"/>
      <c r="E31" s="76"/>
      <c r="F31" s="94"/>
      <c r="G31" s="94"/>
    </row>
    <row r="32" spans="1:7" ht="13">
      <c r="D32" s="82"/>
      <c r="E32" s="82"/>
      <c r="F32" s="96" t="s">
        <v>559</v>
      </c>
      <c r="G32" s="84">
        <f>SUM(G29:G31)</f>
        <v>0</v>
      </c>
    </row>
    <row r="34" spans="1:7" ht="13">
      <c r="B34" s="71" t="s">
        <v>566</v>
      </c>
      <c r="D34" s="97"/>
      <c r="E34" s="97"/>
      <c r="F34" s="98"/>
      <c r="G34" s="90"/>
    </row>
    <row r="35" spans="1:7" s="82" customFormat="1" ht="13">
      <c r="A35" s="134" t="s">
        <v>204</v>
      </c>
      <c r="B35" s="73" t="s">
        <v>97</v>
      </c>
      <c r="C35" s="73" t="s">
        <v>567</v>
      </c>
      <c r="D35" s="73" t="s">
        <v>568</v>
      </c>
      <c r="E35" s="73"/>
      <c r="F35" s="73" t="s">
        <v>99</v>
      </c>
      <c r="G35" s="91" t="s">
        <v>366</v>
      </c>
    </row>
    <row r="36" spans="1:7" ht="14.5">
      <c r="A36" s="135">
        <v>1</v>
      </c>
      <c r="B36" s="99" t="str">
        <f>VLOOKUP(A36,ManoObra[],2,FALSE)</f>
        <v>Electricista</v>
      </c>
      <c r="C36" s="100">
        <f>VLOOKUP(A36,ManoObra[],8,FALSE)</f>
        <v>0</v>
      </c>
      <c r="D36" s="87">
        <f>+FP!E27</f>
        <v>0</v>
      </c>
      <c r="E36" s="87"/>
      <c r="F36" s="106">
        <f>F22</f>
        <v>-0.5</v>
      </c>
      <c r="G36" s="86">
        <f>ROUND(C36*D36/F36,0)</f>
        <v>0</v>
      </c>
    </row>
    <row r="37" spans="1:7" ht="14.5">
      <c r="A37" s="135">
        <v>2</v>
      </c>
      <c r="B37" s="99" t="str">
        <f>VLOOKUP(A37,ManoObra[],2,FALSE)</f>
        <v>Ayudante</v>
      </c>
      <c r="C37" s="100">
        <f>VLOOKUP(A37,ManoObra[],8,FALSE)</f>
        <v>0</v>
      </c>
      <c r="D37" s="87">
        <f>+FP!E27</f>
        <v>0</v>
      </c>
      <c r="E37" s="87"/>
      <c r="F37" s="106">
        <f>F22</f>
        <v>-0.5</v>
      </c>
      <c r="G37" s="86">
        <f>ROUND(C37*D37/F37,0)</f>
        <v>0</v>
      </c>
    </row>
    <row r="38" spans="1:7" ht="14.5">
      <c r="A38" s="135"/>
      <c r="B38" s="105"/>
      <c r="C38" s="100"/>
      <c r="D38" s="87"/>
      <c r="E38" s="87"/>
      <c r="F38" s="80"/>
      <c r="G38" s="86"/>
    </row>
    <row r="39" spans="1:7" ht="13">
      <c r="D39" s="82"/>
      <c r="E39" s="82"/>
      <c r="F39" s="96" t="s">
        <v>559</v>
      </c>
      <c r="G39" s="110">
        <f>SUM(G36:G38)</f>
        <v>0</v>
      </c>
    </row>
    <row r="40" spans="1:7" ht="13">
      <c r="D40" s="82"/>
      <c r="E40" s="82"/>
      <c r="G40" s="90"/>
    </row>
    <row r="41" spans="1:7" ht="12.75" customHeight="1">
      <c r="B41" s="82"/>
      <c r="D41" s="503" t="s">
        <v>569</v>
      </c>
      <c r="E41" s="505"/>
      <c r="F41" s="504"/>
      <c r="G41" s="101">
        <f>G18+G25+G32+G39</f>
        <v>0</v>
      </c>
    </row>
  </sheetData>
  <mergeCells count="3">
    <mergeCell ref="B1:G1"/>
    <mergeCell ref="B4:E4"/>
    <mergeCell ref="D41:F41"/>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30</vt:i4>
      </vt:variant>
      <vt:variant>
        <vt:lpstr>Rangos con nombre</vt:lpstr>
      </vt:variant>
      <vt:variant>
        <vt:i4>8</vt:i4>
      </vt:variant>
    </vt:vector>
  </HeadingPairs>
  <TitlesOfParts>
    <vt:vector size="38" baseType="lpstr">
      <vt:lpstr>Usuarios</vt:lpstr>
      <vt:lpstr>PRESUPUESTO GENERAL SISFV</vt:lpstr>
      <vt:lpstr>APU_PGS</vt:lpstr>
      <vt:lpstr>APU_PMA</vt:lpstr>
      <vt:lpstr>FP</vt:lpstr>
      <vt:lpstr>Memoria Civil</vt:lpstr>
      <vt:lpstr>1.1</vt:lpstr>
      <vt:lpstr>1.2</vt:lpstr>
      <vt:lpstr>1.3</vt:lpstr>
      <vt:lpstr>1.4</vt:lpstr>
      <vt:lpstr>1.5</vt:lpstr>
      <vt:lpstr>1.6</vt:lpstr>
      <vt:lpstr>1.7</vt:lpstr>
      <vt:lpstr>1.8</vt:lpstr>
      <vt:lpstr>1.9</vt:lpstr>
      <vt:lpstr>1.10</vt:lpstr>
      <vt:lpstr>1.11</vt:lpstr>
      <vt:lpstr>1.12</vt:lpstr>
      <vt:lpstr>2.1</vt:lpstr>
      <vt:lpstr>2.2</vt:lpstr>
      <vt:lpstr>3.1</vt:lpstr>
      <vt:lpstr>4.1</vt:lpstr>
      <vt:lpstr>4.2</vt:lpstr>
      <vt:lpstr>MATERIALES</vt:lpstr>
      <vt:lpstr>Equipos importados</vt:lpstr>
      <vt:lpstr>RENDIMIENTOS</vt:lpstr>
      <vt:lpstr>EQUIPO Y HERRAMIENTA</vt:lpstr>
      <vt:lpstr>TRANSPORTE</vt:lpstr>
      <vt:lpstr>MANO DE OBRA</vt:lpstr>
      <vt:lpstr>ENSAYOS DE LABORATORIO</vt:lpstr>
      <vt:lpstr>'1.6'!Área_de_impresión</vt:lpstr>
      <vt:lpstr>'2.1'!Área_de_impresión</vt:lpstr>
      <vt:lpstr>'ENSAYOS DE LABORATORIO'!Área_de_impresión</vt:lpstr>
      <vt:lpstr>MATERIALES!Área_de_impresión</vt:lpstr>
      <vt:lpstr>'PRESUPUESTO GENERAL SISFV'!Área_de_impresión</vt:lpstr>
      <vt:lpstr>TRANSPORTE!Área_de_impresión</vt:lpstr>
      <vt:lpstr>IMPLEMENTACIÓN_DE_SOLUCIONES_ENERGÉTICAS_SOSTENIBLES_CON_FUENTES_NO_CONVENCIONALES_PARA_LAS__COMUNIDADES_RURALES_DEL_MUNICIPIO_CARTAGENA_DEL_CHAIRÁ__DEPARTAMENTO_DEL_CAQUETÁ</vt:lpstr>
      <vt:lpstr>IMPLEMENTACIÓN_DE_SOLUCIONES_SOLARES_FOTOVOLTAICAS_PARA_USUARIOS_DE_LAS_VEREDAS_DE_LA_ZONA_RURAL_DEL_MUNICIPIO_DE_CARTAGENA_DEL_CHAIRÁ__CAQUETÁ.</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Juan Carlos Villada Salazar</cp:lastModifiedBy>
  <cp:revision/>
  <dcterms:created xsi:type="dcterms:W3CDTF">2025-02-24T14:35:22Z</dcterms:created>
  <dcterms:modified xsi:type="dcterms:W3CDTF">2026-02-17T13:29:49Z</dcterms:modified>
  <cp:category/>
  <cp:contentStatus/>
</cp:coreProperties>
</file>