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Nuevo FAZNI 2025\Formulaciones No 2 Sep 2025\BFAZNI 499 Pivijay\5. Presupuestal\1. Análisis de Costos y Presupuesto\"/>
    </mc:Choice>
  </mc:AlternateContent>
  <xr:revisionPtr revIDLastSave="0" documentId="13_ncr:1_{19474A4A-F700-4503-B655-CA91B3907412}" xr6:coauthVersionLast="36" xr6:coauthVersionMax="47" xr10:uidLastSave="{00000000-0000-0000-0000-000000000000}"/>
  <bookViews>
    <workbookView xWindow="-120" yWindow="-120" windowWidth="20730" windowHeight="11040" activeTab="2" xr2:uid="{B0E11A1C-8F23-486D-BE23-B40DC1485A07}"/>
  </bookViews>
  <sheets>
    <sheet name="Usuarios" sheetId="32" r:id="rId1"/>
    <sheet name="CADENA DE VALOR" sheetId="33" state="hidden" r:id="rId2"/>
    <sheet name="PRES. SISFV" sheetId="5" r:id="rId3"/>
    <sheet name="APU_PGS" sheetId="55" r:id="rId4"/>
    <sheet name="1.1" sheetId="6" r:id="rId5"/>
    <sheet name="1.2" sheetId="7" r:id="rId6"/>
    <sheet name="1.3" sheetId="39" r:id="rId7"/>
    <sheet name="1.4" sheetId="17" r:id="rId8"/>
    <sheet name="1.5" sheetId="14" r:id="rId9"/>
    <sheet name="1.6" sheetId="15" r:id="rId10"/>
    <sheet name="1.7" sheetId="16" r:id="rId11"/>
    <sheet name="1.8" sheetId="18" r:id="rId12"/>
    <sheet name="2.1" sheetId="43" r:id="rId13"/>
    <sheet name="2.2" sheetId="20" r:id="rId14"/>
    <sheet name="3.1" sheetId="19" r:id="rId15"/>
    <sheet name="4.1" sheetId="21" r:id="rId16"/>
    <sheet name="FP" sheetId="9" r:id="rId17"/>
    <sheet name="Memoria Civil" sheetId="41" r:id="rId18"/>
    <sheet name="MATERIALES" sheetId="10" r:id="rId19"/>
    <sheet name="RENDIMIENTOS" sheetId="1" r:id="rId20"/>
    <sheet name="EQUIPO Y HERRAMIENTA" sheetId="2" r:id="rId21"/>
    <sheet name="TRANSPORTE" sheetId="3" r:id="rId22"/>
    <sheet name="MANO DE OBRA" sheetId="4" r:id="rId23"/>
    <sheet name="Equipos importados" sheetId="34" r:id="rId24"/>
    <sheet name="Cronograma y Flujo de Fondos" sheetId="35" r:id="rId25"/>
  </sheets>
  <externalReferences>
    <externalReference r:id="rId26"/>
    <externalReference r:id="rId27"/>
    <externalReference r:id="rId28"/>
    <externalReference r:id="rId29"/>
    <externalReference r:id="rId30"/>
  </externalReferences>
  <definedNames>
    <definedName name="__123Graph_AMAIN" localSheetId="4" hidden="1">#REF!</definedName>
    <definedName name="__123Graph_AMAIN" localSheetId="24" hidden="1">'[1]ETAPA 50 SMMLV'!#REF!</definedName>
    <definedName name="__123Graph_AMAIN" localSheetId="20" hidden="1">#REF!</definedName>
    <definedName name="__123Graph_AMAIN" localSheetId="16" hidden="1">#REF!</definedName>
    <definedName name="__123Graph_AMAIN" localSheetId="21" hidden="1">#REF!</definedName>
    <definedName name="__123Graph_AMAIN" hidden="1">#REF!</definedName>
    <definedName name="__123Graph_BMAIN" localSheetId="4" hidden="1">#REF!</definedName>
    <definedName name="__123Graph_BMAIN" localSheetId="24" hidden="1">'[1]ETAPA 50 SMMLV'!#REF!</definedName>
    <definedName name="__123Graph_BMAIN" localSheetId="20" hidden="1">#REF!</definedName>
    <definedName name="__123Graph_BMAIN" localSheetId="16" hidden="1">#REF!</definedName>
    <definedName name="__123Graph_BMAIN" localSheetId="21" hidden="1">#REF!</definedName>
    <definedName name="__123Graph_BMAIN" hidden="1">#REF!</definedName>
    <definedName name="__123Graph_C" localSheetId="4" hidden="1">#REF!</definedName>
    <definedName name="__123Graph_C" localSheetId="24" hidden="1">#REF!</definedName>
    <definedName name="__123Graph_C" localSheetId="20" hidden="1">#REF!</definedName>
    <definedName name="__123Graph_C" localSheetId="16" hidden="1">#REF!</definedName>
    <definedName name="__123Graph_C" localSheetId="21" hidden="1">#REF!</definedName>
    <definedName name="__123Graph_C" hidden="1">#REF!</definedName>
    <definedName name="__123Graph_E" localSheetId="4" hidden="1">#REF!</definedName>
    <definedName name="__123Graph_E" localSheetId="24" hidden="1">#REF!</definedName>
    <definedName name="__123Graph_E" localSheetId="20" hidden="1">#REF!</definedName>
    <definedName name="__123Graph_E" localSheetId="16" hidden="1">#REF!</definedName>
    <definedName name="__123Graph_E" localSheetId="21" hidden="1">#REF!</definedName>
    <definedName name="__123Graph_E" hidden="1">#REF!</definedName>
    <definedName name="__123Graph_F" localSheetId="4" hidden="1">#REF!</definedName>
    <definedName name="__123Graph_F" localSheetId="24" hidden="1">#REF!</definedName>
    <definedName name="__123Graph_F" localSheetId="20" hidden="1">#REF!</definedName>
    <definedName name="__123Graph_F" localSheetId="16" hidden="1">#REF!</definedName>
    <definedName name="__123Graph_F" localSheetId="21" hidden="1">#REF!</definedName>
    <definedName name="__123Graph_F" hidden="1">#REF!</definedName>
    <definedName name="__123Graph_X" localSheetId="4" hidden="1">#REF!</definedName>
    <definedName name="__123Graph_X" localSheetId="24" hidden="1">#REF!</definedName>
    <definedName name="__123Graph_X" localSheetId="20" hidden="1">#REF!</definedName>
    <definedName name="__123Graph_X" localSheetId="16" hidden="1">#REF!</definedName>
    <definedName name="__123Graph_X" localSheetId="21" hidden="1">#REF!</definedName>
    <definedName name="__123Graph_X" hidden="1">#REF!</definedName>
    <definedName name="__123Graph_XMAIN" localSheetId="4" hidden="1">#REF!</definedName>
    <definedName name="__123Graph_XMAIN" localSheetId="24" hidden="1">'[1]ETAPA 50 SMMLV'!#REF!</definedName>
    <definedName name="__123Graph_XMAIN" localSheetId="20" hidden="1">#REF!</definedName>
    <definedName name="__123Graph_XMAIN" localSheetId="16" hidden="1">#REF!</definedName>
    <definedName name="__123Graph_XMAIN" localSheetId="21" hidden="1">#REF!</definedName>
    <definedName name="__123Graph_XMAIN" hidden="1">#REF!</definedName>
    <definedName name="__CMU005" localSheetId="4" hidden="1">#REF!</definedName>
    <definedName name="__CMU005" localSheetId="24" hidden="1">#REF!</definedName>
    <definedName name="__CMU005" localSheetId="20" hidden="1">#REF!</definedName>
    <definedName name="__CMU005" localSheetId="16" hidden="1">#REF!</definedName>
    <definedName name="__CMU005" localSheetId="21" hidden="1">#REF!</definedName>
    <definedName name="__CMU005" hidden="1">#REF!</definedName>
    <definedName name="__xlfn.BAHTTEXT" hidden="1">#NAME?</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MU005" localSheetId="4" hidden="1">#REF!</definedName>
    <definedName name="_CMU005" localSheetId="24" hidden="1">#REF!</definedName>
    <definedName name="_CMU005" localSheetId="20" hidden="1">#REF!</definedName>
    <definedName name="_CMU005" localSheetId="16" hidden="1">#REF!</definedName>
    <definedName name="_CMU005" localSheetId="21" hidden="1">#REF!</definedName>
    <definedName name="_CMU005" hidden="1">#REF!</definedName>
    <definedName name="_F" localSheetId="4" hidden="1">#REF!</definedName>
    <definedName name="_F" localSheetId="24" hidden="1">#REF!</definedName>
    <definedName name="_F" localSheetId="20" hidden="1">#REF!</definedName>
    <definedName name="_F" localSheetId="16" hidden="1">#REF!</definedName>
    <definedName name="_F" localSheetId="21" hidden="1">#REF!</definedName>
    <definedName name="_F" hidden="1">#REF!</definedName>
    <definedName name="_Fill" localSheetId="4" hidden="1">#REF!</definedName>
    <definedName name="_Fill" localSheetId="24" hidden="1">#REF!</definedName>
    <definedName name="_Fill" localSheetId="20" hidden="1">#REF!</definedName>
    <definedName name="_Fill" localSheetId="16" hidden="1">#REF!</definedName>
    <definedName name="_Fill" localSheetId="21" hidden="1">#REF!</definedName>
    <definedName name="_Fill" hidden="1">#REF!</definedName>
    <definedName name="_xlnm._FilterDatabase" localSheetId="21" hidden="1">TRANSPORTE!$B$38:$C$45</definedName>
    <definedName name="_Key1" localSheetId="4" hidden="1">#REF!</definedName>
    <definedName name="_Key1" localSheetId="24" hidden="1">#REF!</definedName>
    <definedName name="_Key1" localSheetId="20" hidden="1">#REF!</definedName>
    <definedName name="_Key1" localSheetId="16" hidden="1">#REF!</definedName>
    <definedName name="_Key1" localSheetId="21" hidden="1">#REF!</definedName>
    <definedName name="_Key1" hidden="1">#REF!</definedName>
    <definedName name="_Key2" localSheetId="4" hidden="1">#REF!</definedName>
    <definedName name="_Key2" localSheetId="24" hidden="1">#REF!</definedName>
    <definedName name="_Key2" localSheetId="20" hidden="1">#REF!</definedName>
    <definedName name="_Key2" localSheetId="16" hidden="1">#REF!</definedName>
    <definedName name="_Key2" localSheetId="21" hidden="1">#REF!</definedName>
    <definedName name="_Key2" hidden="1">#REF!</definedName>
    <definedName name="_Order1" hidden="1">0</definedName>
    <definedName name="_Order2" hidden="1">0</definedName>
    <definedName name="_Regression_Out" localSheetId="4" hidden="1">#REF!</definedName>
    <definedName name="_Regression_Out" localSheetId="24" hidden="1">#REF!</definedName>
    <definedName name="_Regression_Out" localSheetId="20" hidden="1">#REF!</definedName>
    <definedName name="_Regression_Out" localSheetId="16" hidden="1">#REF!</definedName>
    <definedName name="_Regression_Out" localSheetId="21" hidden="1">#REF!</definedName>
    <definedName name="_Regression_Out" hidden="1">#REF!</definedName>
    <definedName name="_Regression_X" localSheetId="4" hidden="1">#REF!</definedName>
    <definedName name="_Regression_X" localSheetId="24" hidden="1">#REF!</definedName>
    <definedName name="_Regression_X" localSheetId="20" hidden="1">#REF!</definedName>
    <definedName name="_Regression_X" localSheetId="16" hidden="1">#REF!</definedName>
    <definedName name="_Regression_X" localSheetId="21" hidden="1">#REF!</definedName>
    <definedName name="_Regression_X" hidden="1">#REF!</definedName>
    <definedName name="_Regression_Y" localSheetId="4" hidden="1">#REF!</definedName>
    <definedName name="_Regression_Y" localSheetId="24" hidden="1">#REF!</definedName>
    <definedName name="_Regression_Y" localSheetId="20" hidden="1">#REF!</definedName>
    <definedName name="_Regression_Y" localSheetId="16" hidden="1">#REF!</definedName>
    <definedName name="_Regression_Y" localSheetId="21" hidden="1">#REF!</definedName>
    <definedName name="_Regression_Y" hidden="1">#REF!</definedName>
    <definedName name="_Sort" localSheetId="4" hidden="1">#REF!</definedName>
    <definedName name="_Sort" localSheetId="24" hidden="1">#REF!</definedName>
    <definedName name="_Sort" localSheetId="20" hidden="1">#REF!</definedName>
    <definedName name="_Sort" localSheetId="16" hidden="1">#REF!</definedName>
    <definedName name="_Sort" localSheetId="21" hidden="1">#REF!</definedName>
    <definedName name="_Sort" hidden="1">#REF!</definedName>
    <definedName name="_Table2_Out" localSheetId="4" hidden="1">#REF!</definedName>
    <definedName name="_Table2_Out" localSheetId="24" hidden="1">#REF!</definedName>
    <definedName name="_Table2_Out" localSheetId="20" hidden="1">#REF!</definedName>
    <definedName name="_Table2_Out" localSheetId="16" hidden="1">#REF!</definedName>
    <definedName name="_Table2_Out" localSheetId="21" hidden="1">#REF!</definedName>
    <definedName name="_Table2_Out" hidden="1">#REF!</definedName>
    <definedName name="A.A..A" localSheetId="4" hidden="1">{"total",#N/A,FALSE,"TD 0% ";"total",#N/A,FALSE,"TD 12%";"total",#N/A,FALSE,"TD 10%"}</definedName>
    <definedName name="A.A..A" localSheetId="24" hidden="1">{"total",#N/A,FALSE,"TD 0% ";"total",#N/A,FALSE,"TD 12%";"total",#N/A,FALSE,"TD 10%"}</definedName>
    <definedName name="A.A..A" localSheetId="20" hidden="1">{"total",#N/A,FALSE,"TD 0% ";"total",#N/A,FALSE,"TD 12%";"total",#N/A,FALSE,"TD 10%"}</definedName>
    <definedName name="A.A..A" localSheetId="16" hidden="1">{"total",#N/A,FALSE,"TD 0% ";"total",#N/A,FALSE,"TD 12%";"total",#N/A,FALSE,"TD 10%"}</definedName>
    <definedName name="A.A..A" localSheetId="22" hidden="1">{"total",#N/A,FALSE,"TD 0% ";"total",#N/A,FALSE,"TD 12%";"total",#N/A,FALSE,"TD 10%"}</definedName>
    <definedName name="A.A..A" localSheetId="18" hidden="1">{"total",#N/A,FALSE,"TD 0% ";"total",#N/A,FALSE,"TD 12%";"total",#N/A,FALSE,"TD 10%"}</definedName>
    <definedName name="A.A..A" localSheetId="21" hidden="1">{"total",#N/A,FALSE,"TD 0% ";"total",#N/A,FALSE,"TD 12%";"total",#N/A,FALSE,"TD 10%"}</definedName>
    <definedName name="A.A..A" hidden="1">{"total",#N/A,FALSE,"TD 0% ";"total",#N/A,FALSE,"TD 12%";"total",#N/A,FALSE,"TD 10%"}</definedName>
    <definedName name="AA" localSheetId="4" hidden="1">{"total",#N/A,FALSE,"TD 0% ";"total",#N/A,FALSE,"TD 12%";"total",#N/A,FALSE,"TD 10%"}</definedName>
    <definedName name="AA" localSheetId="24" hidden="1">{#N/A,#N/A,TRUE,"INGENIERIA";#N/A,#N/A,TRUE,"COMPRAS";#N/A,#N/A,TRUE,"DIRECCION";#N/A,#N/A,TRUE,"RESUMEN"}</definedName>
    <definedName name="AA" localSheetId="20" hidden="1">{"total",#N/A,FALSE,"TD 0% ";"total",#N/A,FALSE,"TD 12%";"total",#N/A,FALSE,"TD 10%"}</definedName>
    <definedName name="AA" localSheetId="16" hidden="1">{"total",#N/A,FALSE,"TD 0% ";"total",#N/A,FALSE,"TD 12%";"total",#N/A,FALSE,"TD 10%"}</definedName>
    <definedName name="AA" localSheetId="22" hidden="1">{"total",#N/A,FALSE,"TD 0% ";"total",#N/A,FALSE,"TD 12%";"total",#N/A,FALSE,"TD 10%"}</definedName>
    <definedName name="AA" localSheetId="18" hidden="1">{"total",#N/A,FALSE,"TD 0% ";"total",#N/A,FALSE,"TD 12%";"total",#N/A,FALSE,"TD 10%"}</definedName>
    <definedName name="AA" localSheetId="21" hidden="1">{"total",#N/A,FALSE,"TD 0% ";"total",#N/A,FALSE,"TD 12%";"total",#N/A,FALSE,"TD 10%"}</definedName>
    <definedName name="AA" hidden="1">{"total",#N/A,FALSE,"TD 0% ";"total",#N/A,FALSE,"TD 12%";"total",#N/A,FALSE,"TD 10%"}</definedName>
    <definedName name="AC" localSheetId="4" hidden="1">{#N/A,#N/A,TRUE,"INGENIERIA";#N/A,#N/A,TRUE,"COMPRAS";#N/A,#N/A,TRUE,"DIRECCION";#N/A,#N/A,TRUE,"RESUMEN"}</definedName>
    <definedName name="AC" localSheetId="24" hidden="1">{#N/A,#N/A,TRUE,"INGENIERIA";#N/A,#N/A,TRUE,"COMPRAS";#N/A,#N/A,TRUE,"DIRECCION";#N/A,#N/A,TRUE,"RESUMEN"}</definedName>
    <definedName name="AC" localSheetId="20" hidden="1">{#N/A,#N/A,TRUE,"INGENIERIA";#N/A,#N/A,TRUE,"COMPRAS";#N/A,#N/A,TRUE,"DIRECCION";#N/A,#N/A,TRUE,"RESUMEN"}</definedName>
    <definedName name="AC" localSheetId="16" hidden="1">{#N/A,#N/A,TRUE,"INGENIERIA";#N/A,#N/A,TRUE,"COMPRAS";#N/A,#N/A,TRUE,"DIRECCION";#N/A,#N/A,TRUE,"RESUMEN"}</definedName>
    <definedName name="AC" localSheetId="22" hidden="1">{#N/A,#N/A,TRUE,"INGENIERIA";#N/A,#N/A,TRUE,"COMPRAS";#N/A,#N/A,TRUE,"DIRECCION";#N/A,#N/A,TRUE,"RESUMEN"}</definedName>
    <definedName name="AC" localSheetId="18" hidden="1">{#N/A,#N/A,TRUE,"INGENIERIA";#N/A,#N/A,TRUE,"COMPRAS";#N/A,#N/A,TRUE,"DIRECCION";#N/A,#N/A,TRUE,"RESUMEN"}</definedName>
    <definedName name="AC" localSheetId="21" hidden="1">{#N/A,#N/A,TRUE,"INGENIERIA";#N/A,#N/A,TRUE,"COMPRAS";#N/A,#N/A,TRUE,"DIRECCION";#N/A,#N/A,TRUE,"RESUMEN"}</definedName>
    <definedName name="AC" hidden="1">{#N/A,#N/A,TRUE,"INGENIERIA";#N/A,#N/A,TRUE,"COMPRAS";#N/A,#N/A,TRUE,"DIRECCION";#N/A,#N/A,TRUE,"RESUMEN"}</definedName>
    <definedName name="AccessDatabase" hidden="1">"C:\C-314\VOLUMENES\volfin4.mdb"</definedName>
    <definedName name="AD" localSheetId="4" hidden="1">{#N/A,#N/A,TRUE,"INGENIERIA";#N/A,#N/A,TRUE,"COMPRAS";#N/A,#N/A,TRUE,"DIRECCION";#N/A,#N/A,TRUE,"RESUMEN"}</definedName>
    <definedName name="AD" localSheetId="24" hidden="1">{#N/A,#N/A,TRUE,"INGENIERIA";#N/A,#N/A,TRUE,"COMPRAS";#N/A,#N/A,TRUE,"DIRECCION";#N/A,#N/A,TRUE,"RESUMEN"}</definedName>
    <definedName name="AD" localSheetId="20" hidden="1">{#N/A,#N/A,TRUE,"INGENIERIA";#N/A,#N/A,TRUE,"COMPRAS";#N/A,#N/A,TRUE,"DIRECCION";#N/A,#N/A,TRUE,"RESUMEN"}</definedName>
    <definedName name="AD" localSheetId="16" hidden="1">{#N/A,#N/A,TRUE,"INGENIERIA";#N/A,#N/A,TRUE,"COMPRAS";#N/A,#N/A,TRUE,"DIRECCION";#N/A,#N/A,TRUE,"RESUMEN"}</definedName>
    <definedName name="AD" localSheetId="22" hidden="1">{#N/A,#N/A,TRUE,"INGENIERIA";#N/A,#N/A,TRUE,"COMPRAS";#N/A,#N/A,TRUE,"DIRECCION";#N/A,#N/A,TRUE,"RESUMEN"}</definedName>
    <definedName name="AD" localSheetId="18" hidden="1">{#N/A,#N/A,TRUE,"INGENIERIA";#N/A,#N/A,TRUE,"COMPRAS";#N/A,#N/A,TRUE,"DIRECCION";#N/A,#N/A,TRUE,"RESUMEN"}</definedName>
    <definedName name="AD" localSheetId="21" hidden="1">{#N/A,#N/A,TRUE,"INGENIERIA";#N/A,#N/A,TRUE,"COMPRAS";#N/A,#N/A,TRUE,"DIRECCION";#N/A,#N/A,TRUE,"RESUMEN"}</definedName>
    <definedName name="AD" hidden="1">{#N/A,#N/A,TRUE,"INGENIERIA";#N/A,#N/A,TRUE,"COMPRAS";#N/A,#N/A,TRUE,"DIRECCION";#N/A,#N/A,TRUE,"RESUMEN"}</definedName>
    <definedName name="AE" localSheetId="4" hidden="1">{#N/A,#N/A,TRUE,"INGENIERIA";#N/A,#N/A,TRUE,"COMPRAS";#N/A,#N/A,TRUE,"DIRECCION";#N/A,#N/A,TRUE,"RESUMEN"}</definedName>
    <definedName name="AE" localSheetId="24" hidden="1">{#N/A,#N/A,TRUE,"INGENIERIA";#N/A,#N/A,TRUE,"COMPRAS";#N/A,#N/A,TRUE,"DIRECCION";#N/A,#N/A,TRUE,"RESUMEN"}</definedName>
    <definedName name="AE" localSheetId="20" hidden="1">{#N/A,#N/A,TRUE,"INGENIERIA";#N/A,#N/A,TRUE,"COMPRAS";#N/A,#N/A,TRUE,"DIRECCION";#N/A,#N/A,TRUE,"RESUMEN"}</definedName>
    <definedName name="AE" localSheetId="16" hidden="1">{#N/A,#N/A,TRUE,"INGENIERIA";#N/A,#N/A,TRUE,"COMPRAS";#N/A,#N/A,TRUE,"DIRECCION";#N/A,#N/A,TRUE,"RESUMEN"}</definedName>
    <definedName name="AE" localSheetId="22" hidden="1">{#N/A,#N/A,TRUE,"INGENIERIA";#N/A,#N/A,TRUE,"COMPRAS";#N/A,#N/A,TRUE,"DIRECCION";#N/A,#N/A,TRUE,"RESUMEN"}</definedName>
    <definedName name="AE" localSheetId="18" hidden="1">{#N/A,#N/A,TRUE,"INGENIERIA";#N/A,#N/A,TRUE,"COMPRAS";#N/A,#N/A,TRUE,"DIRECCION";#N/A,#N/A,TRUE,"RESUMEN"}</definedName>
    <definedName name="AE" localSheetId="21" hidden="1">{#N/A,#N/A,TRUE,"INGENIERIA";#N/A,#N/A,TRUE,"COMPRAS";#N/A,#N/A,TRUE,"DIRECCION";#N/A,#N/A,TRUE,"RESUMEN"}</definedName>
    <definedName name="AE" hidden="1">{#N/A,#N/A,TRUE,"INGENIERIA";#N/A,#N/A,TRUE,"COMPRAS";#N/A,#N/A,TRUE,"DIRECCION";#N/A,#N/A,TRUE,"RESUMEN"}</definedName>
    <definedName name="AF" localSheetId="4" hidden="1">{#N/A,#N/A,TRUE,"INGENIERIA";#N/A,#N/A,TRUE,"COMPRAS";#N/A,#N/A,TRUE,"DIRECCION";#N/A,#N/A,TRUE,"RESUMEN"}</definedName>
    <definedName name="AF" localSheetId="24" hidden="1">{#N/A,#N/A,TRUE,"INGENIERIA";#N/A,#N/A,TRUE,"COMPRAS";#N/A,#N/A,TRUE,"DIRECCION";#N/A,#N/A,TRUE,"RESUMEN"}</definedName>
    <definedName name="AF" localSheetId="20" hidden="1">{#N/A,#N/A,TRUE,"INGENIERIA";#N/A,#N/A,TRUE,"COMPRAS";#N/A,#N/A,TRUE,"DIRECCION";#N/A,#N/A,TRUE,"RESUMEN"}</definedName>
    <definedName name="AF" localSheetId="16" hidden="1">{#N/A,#N/A,TRUE,"INGENIERIA";#N/A,#N/A,TRUE,"COMPRAS";#N/A,#N/A,TRUE,"DIRECCION";#N/A,#N/A,TRUE,"RESUMEN"}</definedName>
    <definedName name="AF" localSheetId="22" hidden="1">{#N/A,#N/A,TRUE,"INGENIERIA";#N/A,#N/A,TRUE,"COMPRAS";#N/A,#N/A,TRUE,"DIRECCION";#N/A,#N/A,TRUE,"RESUMEN"}</definedName>
    <definedName name="AF" localSheetId="18" hidden="1">{#N/A,#N/A,TRUE,"INGENIERIA";#N/A,#N/A,TRUE,"COMPRAS";#N/A,#N/A,TRUE,"DIRECCION";#N/A,#N/A,TRUE,"RESUMEN"}</definedName>
    <definedName name="AF" localSheetId="21" hidden="1">{#N/A,#N/A,TRUE,"INGENIERIA";#N/A,#N/A,TRUE,"COMPRAS";#N/A,#N/A,TRUE,"DIRECCION";#N/A,#N/A,TRUE,"RESUMEN"}</definedName>
    <definedName name="AF" hidden="1">{#N/A,#N/A,TRUE,"INGENIERIA";#N/A,#N/A,TRUE,"COMPRAS";#N/A,#N/A,TRUE,"DIRECCION";#N/A,#N/A,TRUE,"RESUMEN"}</definedName>
    <definedName name="AG"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1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localSheetId="2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H" localSheetId="4" hidden="1">{#N/A,#N/A,TRUE,"INGENIERIA";#N/A,#N/A,TRUE,"COMPRAS";#N/A,#N/A,TRUE,"DIRECCION";#N/A,#N/A,TRUE,"RESUMEN"}</definedName>
    <definedName name="AH" localSheetId="24" hidden="1">{#N/A,#N/A,TRUE,"INGENIERIA";#N/A,#N/A,TRUE,"COMPRAS";#N/A,#N/A,TRUE,"DIRECCION";#N/A,#N/A,TRUE,"RESUMEN"}</definedName>
    <definedName name="AH" localSheetId="20" hidden="1">{#N/A,#N/A,TRUE,"INGENIERIA";#N/A,#N/A,TRUE,"COMPRAS";#N/A,#N/A,TRUE,"DIRECCION";#N/A,#N/A,TRUE,"RESUMEN"}</definedName>
    <definedName name="AH" localSheetId="16" hidden="1">{#N/A,#N/A,TRUE,"INGENIERIA";#N/A,#N/A,TRUE,"COMPRAS";#N/A,#N/A,TRUE,"DIRECCION";#N/A,#N/A,TRUE,"RESUMEN"}</definedName>
    <definedName name="AH" localSheetId="22" hidden="1">{#N/A,#N/A,TRUE,"INGENIERIA";#N/A,#N/A,TRUE,"COMPRAS";#N/A,#N/A,TRUE,"DIRECCION";#N/A,#N/A,TRUE,"RESUMEN"}</definedName>
    <definedName name="AH" localSheetId="18" hidden="1">{#N/A,#N/A,TRUE,"INGENIERIA";#N/A,#N/A,TRUE,"COMPRAS";#N/A,#N/A,TRUE,"DIRECCION";#N/A,#N/A,TRUE,"RESUMEN"}</definedName>
    <definedName name="AH" localSheetId="21" hidden="1">{#N/A,#N/A,TRUE,"INGENIERIA";#N/A,#N/A,TRUE,"COMPRAS";#N/A,#N/A,TRUE,"DIRECCION";#N/A,#N/A,TRUE,"RESUMEN"}</definedName>
    <definedName name="AH" hidden="1">{#N/A,#N/A,TRUE,"INGENIERIA";#N/A,#N/A,TRUE,"COMPRAS";#N/A,#N/A,TRUE,"DIRECCION";#N/A,#N/A,TRUE,"RESUMEN"}</definedName>
    <definedName name="Analyst" localSheetId="4" hidden="1">#REF!</definedName>
    <definedName name="Analyst" localSheetId="24" hidden="1">#REF!</definedName>
    <definedName name="Analyst" localSheetId="20" hidden="1">#REF!</definedName>
    <definedName name="Analyst" localSheetId="16" hidden="1">#REF!</definedName>
    <definedName name="Analyst" localSheetId="21" hidden="1">#REF!</definedName>
    <definedName name="Analyst" hidden="1">#REF!</definedName>
    <definedName name="anscount" hidden="1">10</definedName>
    <definedName name="_xlnm.Print_Area" localSheetId="12">'2.1'!$A$1:$G$56</definedName>
    <definedName name="_xlnm.Print_Area" localSheetId="24">'Cronograma y Flujo de Fondos'!$A$1:$O$51</definedName>
    <definedName name="_xlnm.Print_Area" localSheetId="18">MATERIALES!$A$1:$H$414</definedName>
    <definedName name="_xlnm.Print_Area" localSheetId="2">'PRES. SISFV'!$A$1:$P$37</definedName>
    <definedName name="_xlnm.Print_Area" localSheetId="21">TRANSPORTE!$A$1:$F$74</definedName>
    <definedName name="arg" localSheetId="4" hidden="1">#REF!</definedName>
    <definedName name="arg" localSheetId="24" hidden="1">[2]MI!#REF!</definedName>
    <definedName name="arg" localSheetId="20" hidden="1">#REF!</definedName>
    <definedName name="arg" localSheetId="16" hidden="1">#REF!</definedName>
    <definedName name="arg" localSheetId="21" hidden="1">#REF!</definedName>
    <definedName name="arg" hidden="1">#REF!</definedName>
    <definedName name="BS_Data_Col" localSheetId="4" hidden="1">#REF!</definedName>
    <definedName name="BS_Data_Col" localSheetId="24" hidden="1">#REF!</definedName>
    <definedName name="BS_Data_Col" localSheetId="20" hidden="1">#REF!</definedName>
    <definedName name="BS_Data_Col" localSheetId="16" hidden="1">#REF!</definedName>
    <definedName name="BS_Data_Col" localSheetId="21" hidden="1">#REF!</definedName>
    <definedName name="BS_Data_Col" hidden="1">#REF!</definedName>
    <definedName name="BSpb" localSheetId="4" hidden="1">#REF!</definedName>
    <definedName name="BSpb" localSheetId="24" hidden="1">#REF!</definedName>
    <definedName name="BSpb" localSheetId="20" hidden="1">#REF!</definedName>
    <definedName name="BSpb" localSheetId="16" hidden="1">#REF!</definedName>
    <definedName name="BSpb" localSheetId="21" hidden="1">#REF!</definedName>
    <definedName name="BSpb" hidden="1">#REF!</definedName>
    <definedName name="Capitalpb" localSheetId="4" hidden="1">#REF!</definedName>
    <definedName name="Capitalpb" localSheetId="24" hidden="1">#REF!</definedName>
    <definedName name="Capitalpb" localSheetId="20" hidden="1">#REF!</definedName>
    <definedName name="Capitalpb" localSheetId="16" hidden="1">#REF!</definedName>
    <definedName name="Capitalpb" localSheetId="21" hidden="1">#REF!</definedName>
    <definedName name="Capitalpb" hidden="1">#REF!</definedName>
    <definedName name="CapitalStructure" localSheetId="4" hidden="1">#REF!</definedName>
    <definedName name="CapitalStructure" localSheetId="24" hidden="1">#REF!</definedName>
    <definedName name="CapitalStructure" localSheetId="20" hidden="1">#REF!</definedName>
    <definedName name="CapitalStructure" localSheetId="16" hidden="1">#REF!</definedName>
    <definedName name="CapitalStructure" localSheetId="21" hidden="1">#REF!</definedName>
    <definedName name="CapitalStructure" hidden="1">#REF!</definedName>
    <definedName name="Cashpb" localSheetId="4" hidden="1">#REF!</definedName>
    <definedName name="Cashpb" localSheetId="24" hidden="1">#REF!</definedName>
    <definedName name="Cashpb" localSheetId="20" hidden="1">#REF!</definedName>
    <definedName name="Cashpb" localSheetId="16" hidden="1">#REF!</definedName>
    <definedName name="Cashpb" localSheetId="21" hidden="1">#REF!</definedName>
    <definedName name="Cashpb" hidden="1">#REF!</definedName>
    <definedName name="Change_in_Cash" localSheetId="4" hidden="1">#REF!</definedName>
    <definedName name="Change_in_Cash" localSheetId="24" hidden="1">#REF!</definedName>
    <definedName name="Change_in_Cash" localSheetId="20" hidden="1">#REF!</definedName>
    <definedName name="Change_in_Cash" localSheetId="16" hidden="1">#REF!</definedName>
    <definedName name="Change_in_Cash" localSheetId="21" hidden="1">#REF!</definedName>
    <definedName name="Change_in_Cash" hidden="1">#REF!</definedName>
    <definedName name="Check_to_Cash" localSheetId="4" hidden="1">#REF!</definedName>
    <definedName name="Check_to_Cash" localSheetId="24" hidden="1">#REF!</definedName>
    <definedName name="Check_to_Cash" localSheetId="20" hidden="1">#REF!</definedName>
    <definedName name="Check_to_Cash" localSheetId="16" hidden="1">#REF!</definedName>
    <definedName name="Check_to_Cash" localSheetId="21" hidden="1">#REF!</definedName>
    <definedName name="Check_to_Cash" hidden="1">#REF!</definedName>
    <definedName name="czz" localSheetId="4" hidden="1">#REF!</definedName>
    <definedName name="czz" localSheetId="24" hidden="1">'[1]ETAPA 50 SMMLV'!#REF!</definedName>
    <definedName name="czz" localSheetId="20" hidden="1">#REF!</definedName>
    <definedName name="czz" localSheetId="16" hidden="1">#REF!</definedName>
    <definedName name="czz" localSheetId="21" hidden="1">#REF!</definedName>
    <definedName name="czz" hidden="1">#REF!</definedName>
    <definedName name="DADADAD" localSheetId="4" hidden="1">{#N/A,#N/A,TRUE,"CODIGO DEPENDENCIA"}</definedName>
    <definedName name="DADADAD" localSheetId="24" hidden="1">{#N/A,#N/A,TRUE,"CODIGO DEPENDENCIA"}</definedName>
    <definedName name="DADADAD" localSheetId="20" hidden="1">{#N/A,#N/A,TRUE,"CODIGO DEPENDENCIA"}</definedName>
    <definedName name="DADADAD" localSheetId="16" hidden="1">{#N/A,#N/A,TRUE,"CODIGO DEPENDENCIA"}</definedName>
    <definedName name="DADADAD" localSheetId="22" hidden="1">{#N/A,#N/A,TRUE,"CODIGO DEPENDENCIA"}</definedName>
    <definedName name="DADADAD" localSheetId="18" hidden="1">{#N/A,#N/A,TRUE,"CODIGO DEPENDENCIA"}</definedName>
    <definedName name="DADADAD" localSheetId="21" hidden="1">{#N/A,#N/A,TRUE,"CODIGO DEPENDENCIA"}</definedName>
    <definedName name="DADADAD" hidden="1">{#N/A,#N/A,TRUE,"CODIGO DEPENDENCIA"}</definedName>
    <definedName name="Dealpb" localSheetId="4" hidden="1">#REF!</definedName>
    <definedName name="Dealpb" localSheetId="24" hidden="1">#REF!</definedName>
    <definedName name="Dealpb" localSheetId="20" hidden="1">#REF!</definedName>
    <definedName name="Dealpb" localSheetId="16" hidden="1">#REF!</definedName>
    <definedName name="Dealpb" localSheetId="21" hidden="1">#REF!</definedName>
    <definedName name="Dealpb" hidden="1">#REF!</definedName>
    <definedName name="DepreciationPB" localSheetId="4" hidden="1">#REF!</definedName>
    <definedName name="DepreciationPB" localSheetId="24" hidden="1">#REF!</definedName>
    <definedName name="DepreciationPB" localSheetId="20" hidden="1">#REF!</definedName>
    <definedName name="DepreciationPB" localSheetId="16" hidden="1">#REF!</definedName>
    <definedName name="DepreciationPB" localSheetId="21" hidden="1">#REF!</definedName>
    <definedName name="DepreciationPB" hidden="1">#REF!</definedName>
    <definedName name="DZ.Main" localSheetId="4" hidden="1">#REF!</definedName>
    <definedName name="DZ.Main" localSheetId="24" hidden="1">#REF!</definedName>
    <definedName name="DZ.Main" localSheetId="20" hidden="1">#REF!</definedName>
    <definedName name="DZ.Main" localSheetId="16" hidden="1">#REF!</definedName>
    <definedName name="DZ.Main" localSheetId="21" hidden="1">#REF!</definedName>
    <definedName name="DZ.Main" hidden="1">#REF!</definedName>
    <definedName name="ev.Calculation" hidden="1">-4135</definedName>
    <definedName name="ev.Initialized" hidden="1">FALSE</definedName>
    <definedName name="Executivepb" localSheetId="4" hidden="1">#REF!</definedName>
    <definedName name="Executivepb" localSheetId="24" hidden="1">#REF!</definedName>
    <definedName name="Executivepb" localSheetId="20" hidden="1">#REF!</definedName>
    <definedName name="Executivepb" localSheetId="16" hidden="1">#REF!</definedName>
    <definedName name="Executivepb" localSheetId="21" hidden="1">#REF!</definedName>
    <definedName name="Executivepb" hidden="1">#REF!</definedName>
    <definedName name="Factpb" localSheetId="4" hidden="1">#REF!</definedName>
    <definedName name="Factpb" localSheetId="24" hidden="1">#REF!</definedName>
    <definedName name="Factpb" localSheetId="20" hidden="1">#REF!</definedName>
    <definedName name="Factpb" localSheetId="16" hidden="1">#REF!</definedName>
    <definedName name="Factpb" localSheetId="21" hidden="1">#REF!</definedName>
    <definedName name="Factpb" hidden="1">#REF!</definedName>
    <definedName name="Factpb2" localSheetId="4" hidden="1">#REF!</definedName>
    <definedName name="Factpb2" localSheetId="24" hidden="1">#REF!</definedName>
    <definedName name="Factpb2" localSheetId="20" hidden="1">#REF!</definedName>
    <definedName name="Factpb2" localSheetId="16" hidden="1">#REF!</definedName>
    <definedName name="Factpb2" localSheetId="21" hidden="1">#REF!</definedName>
    <definedName name="Factpb2" hidden="1">#REF!</definedName>
    <definedName name="Financialpb" localSheetId="4" hidden="1">#REF!</definedName>
    <definedName name="Financialpb" localSheetId="24" hidden="1">#REF!</definedName>
    <definedName name="Financialpb" localSheetId="20" hidden="1">#REF!</definedName>
    <definedName name="Financialpb" localSheetId="16" hidden="1">#REF!</definedName>
    <definedName name="Financialpb" localSheetId="21" hidden="1">#REF!</definedName>
    <definedName name="Financialpb" hidden="1">#REF!</definedName>
    <definedName name="Financialpb2" localSheetId="4" hidden="1">#REF!</definedName>
    <definedName name="Financialpb2" localSheetId="24" hidden="1">#REF!</definedName>
    <definedName name="Financialpb2" localSheetId="20" hidden="1">#REF!</definedName>
    <definedName name="Financialpb2" localSheetId="16" hidden="1">#REF!</definedName>
    <definedName name="Financialpb2" localSheetId="21" hidden="1">#REF!</definedName>
    <definedName name="Financialpb2" hidden="1">#REF!</definedName>
    <definedName name="HisYear_0" localSheetId="4" hidden="1">#REF!</definedName>
    <definedName name="HisYear_0" localSheetId="24" hidden="1">#REF!</definedName>
    <definedName name="HisYear_0" localSheetId="20" hidden="1">#REF!</definedName>
    <definedName name="HisYear_0" localSheetId="16" hidden="1">#REF!</definedName>
    <definedName name="HisYear_0" localSheetId="21" hidden="1">#REF!</definedName>
    <definedName name="HisYear_0" hidden="1">#REF!</definedName>
    <definedName name="HisYear_1" localSheetId="4" hidden="1">#REF!</definedName>
    <definedName name="HisYear_1" localSheetId="24" hidden="1">#REF!</definedName>
    <definedName name="HisYear_1" localSheetId="20" hidden="1">#REF!</definedName>
    <definedName name="HisYear_1" localSheetId="16" hidden="1">#REF!</definedName>
    <definedName name="HisYear_1" localSheetId="21" hidden="1">#REF!</definedName>
    <definedName name="HisYear_1" hidden="1">#REF!</definedName>
    <definedName name="HisYear_2" localSheetId="4" hidden="1">#REF!</definedName>
    <definedName name="HisYear_2" localSheetId="24" hidden="1">#REF!</definedName>
    <definedName name="HisYear_2" localSheetId="20" hidden="1">#REF!</definedName>
    <definedName name="HisYear_2" localSheetId="16" hidden="1">#REF!</definedName>
    <definedName name="HisYear_2" localSheetId="21" hidden="1">#REF!</definedName>
    <definedName name="HisYear_2" hidden="1">#REF!</definedName>
    <definedName name="HisYear_3" localSheetId="4" hidden="1">#REF!</definedName>
    <definedName name="HisYear_3" localSheetId="24" hidden="1">#REF!</definedName>
    <definedName name="HisYear_3" localSheetId="20" hidden="1">#REF!</definedName>
    <definedName name="HisYear_3" localSheetId="16" hidden="1">#REF!</definedName>
    <definedName name="HisYear_3" localSheetId="21" hidden="1">#REF!</definedName>
    <definedName name="HisYear_3" hidden="1">#REF!</definedName>
    <definedName name="hn.ConvertZero1" localSheetId="4" hidden="1">#REF!,#REF!,#REF!,#REF!,#REF!,#REF!,#REF!,#REF!,#REF!,#REF!</definedName>
    <definedName name="hn.ConvertZero1" localSheetId="24" hidden="1">[3]LTM!$G$461:$J$461,[3]LTM!$G$463:$J$464,[3]LTM!$G$468:$J$469,[3]LTM!$G$473:$J$475,[3]LTM!$G$480:$J$480,[3]LTM!$G$484:$J$485,[3]LTM!$G$490:$J$490,[3]LTM!$G$514:$J$518,[3]LTM!$G$525:$J$526,[3]LTM!$G$532:$J$537</definedName>
    <definedName name="hn.ConvertZero1" localSheetId="20" hidden="1">#REF!,#REF!,#REF!,#REF!,#REF!,#REF!,#REF!,#REF!,#REF!,#REF!</definedName>
    <definedName name="hn.ConvertZero1" localSheetId="16" hidden="1">#REF!,#REF!,#REF!,#REF!,#REF!,#REF!,#REF!,#REF!,#REF!,#REF!</definedName>
    <definedName name="hn.ConvertZero1" localSheetId="21" hidden="1">#REF!,#REF!,#REF!,#REF!,#REF!,#REF!,#REF!,#REF!,#REF!,#REF!</definedName>
    <definedName name="hn.ConvertZero1" hidden="1">#REF!,#REF!,#REF!,#REF!,#REF!,#REF!,#REF!,#REF!,#REF!,#REF!</definedName>
    <definedName name="hn.ConvertZero2" localSheetId="4" hidden="1">#REF!,#REF!,#REF!,#REF!,#REF!,#REF!,#REF!,#REF!</definedName>
    <definedName name="hn.ConvertZero2" localSheetId="24" hidden="1">[3]LTM!$G$560:$J$560,[3]LTM!$H$590:$J$591,[3]LTM!$H$614:$J$614,[3]LTM!$H$635:$J$636,[3]LTM!$G$676:$J$680,[3]LTM!$G$686:$J$686,[3]LTM!$G$688:$J$694,[3]LTM!$G$681:$J$682</definedName>
    <definedName name="hn.ConvertZero2" localSheetId="20" hidden="1">#REF!,#REF!,#REF!,#REF!,#REF!,#REF!,#REF!,#REF!</definedName>
    <definedName name="hn.ConvertZero2" localSheetId="16" hidden="1">#REF!,#REF!,#REF!,#REF!,#REF!,#REF!,#REF!,#REF!</definedName>
    <definedName name="hn.ConvertZero2" localSheetId="21" hidden="1">#REF!,#REF!,#REF!,#REF!,#REF!,#REF!,#REF!,#REF!</definedName>
    <definedName name="hn.ConvertZero2" hidden="1">#REF!,#REF!,#REF!,#REF!,#REF!,#REF!,#REF!,#REF!</definedName>
    <definedName name="hn.ConvertZero3" localSheetId="4" hidden="1">#REF!,#REF!,#REF!,#REF!,#REF!</definedName>
    <definedName name="hn.ConvertZero3" localSheetId="24" hidden="1">[3]LTM!$G$699:$J$706,[3]LTM!$G$710:$J$714,[3]LTM!$G$717:$J$734,[3]LTM!$G$738:$J$738,[3]LTM!$G$745:$J$751</definedName>
    <definedName name="hn.ConvertZero3" localSheetId="20" hidden="1">#REF!,#REF!,#REF!,#REF!,#REF!</definedName>
    <definedName name="hn.ConvertZero3" localSheetId="16" hidden="1">#REF!,#REF!,#REF!,#REF!,#REF!</definedName>
    <definedName name="hn.ConvertZero3" localSheetId="21" hidden="1">#REF!,#REF!,#REF!,#REF!,#REF!</definedName>
    <definedName name="hn.ConvertZero3" hidden="1">#REF!,#REF!,#REF!,#REF!,#REF!</definedName>
    <definedName name="hn.ConvertZero4" localSheetId="4" hidden="1">#REF!,#REF!,#REF!,#REF!,#REF!,#REF!,#REF!,#REF!</definedName>
    <definedName name="hn.ConvertZero4" localSheetId="24" hidden="1">[3]LTM!$G$840:$J$840,[3]LTM!$H$1266:$J$1266,[3]LTM!$G$1267:$J$1267,[3]LTM!$G$1454:$J$1461,[3]LTM!$J$1462,[3]LTM!$J$1463,[3]LTM!$G$1468:$J$1469,[3]LTM!$L$1469:$N$1469</definedName>
    <definedName name="hn.ConvertZero4" localSheetId="20" hidden="1">#REF!,#REF!,#REF!,#REF!,#REF!,#REF!,#REF!,#REF!</definedName>
    <definedName name="hn.ConvertZero4" localSheetId="16" hidden="1">#REF!,#REF!,#REF!,#REF!,#REF!,#REF!,#REF!,#REF!</definedName>
    <definedName name="hn.ConvertZero4" localSheetId="21" hidden="1">#REF!,#REF!,#REF!,#REF!,#REF!,#REF!,#REF!,#REF!</definedName>
    <definedName name="hn.ConvertZero4" hidden="1">#REF!,#REF!,#REF!,#REF!,#REF!,#REF!,#REF!,#REF!</definedName>
    <definedName name="hn.ConvertZeroUnhide1" localSheetId="4" hidden="1">#REF!,#REF!,#REF!</definedName>
    <definedName name="hn.ConvertZeroUnhide1" localSheetId="24" hidden="1">[3]LTM!$G$1469:$J$1469,[3]LTM!$L$1469:$N$1469,[3]LTM!$H$1266:$J$1266</definedName>
    <definedName name="hn.ConvertZeroUnhide1" localSheetId="20" hidden="1">#REF!,#REF!,#REF!</definedName>
    <definedName name="hn.ConvertZeroUnhide1" localSheetId="16" hidden="1">#REF!,#REF!,#REF!</definedName>
    <definedName name="hn.ConvertZeroUnhide1" localSheetId="21" hidden="1">#REF!,#REF!,#REF!</definedName>
    <definedName name="hn.ConvertZeroUnhide1" hidden="1">#REF!,#REF!,#REF!</definedName>
    <definedName name="hn.Delete015" localSheetId="4" hidden="1">#REF!,#REF!,#REF!,#REF!</definedName>
    <definedName name="hn.Delete015" localSheetId="24" hidden="1">'[3]CREDIT STATS'!$B$9:$K$11,'[3]CREDIT STATS'!$O$11:$X$14,'[3]CREDIT STATS'!$B$25:$K$30,'[3]CREDIT STATS'!$O$25:$X$26</definedName>
    <definedName name="hn.Delete015" localSheetId="20" hidden="1">#REF!,#REF!,#REF!,#REF!</definedName>
    <definedName name="hn.Delete015" localSheetId="16" hidden="1">#REF!,#REF!,#REF!,#REF!</definedName>
    <definedName name="hn.Delete015" localSheetId="21" hidden="1">#REF!,#REF!,#REF!,#REF!</definedName>
    <definedName name="hn.Delete015" hidden="1">#REF!,#REF!,#REF!,#REF!</definedName>
    <definedName name="hn.DZ_MultByFXRates" localSheetId="4" hidden="1">#REF!,#REF!,#REF!,#REF!</definedName>
    <definedName name="hn.DZ_MultByFXRates" localSheetId="24" hidden="1">[3]DropZone!$B$2:$I$118,[3]DropZone!$B$120:$I$132,[3]DropZone!$B$134:$I$136,[3]DropZone!$B$138:$I$146</definedName>
    <definedName name="hn.DZ_MultByFXRates" localSheetId="20" hidden="1">#REF!,#REF!,#REF!,#REF!</definedName>
    <definedName name="hn.DZ_MultByFXRates" localSheetId="16" hidden="1">#REF!,#REF!,#REF!,#REF!</definedName>
    <definedName name="hn.DZ_MultByFXRates" localSheetId="21" hidden="1">#REF!,#REF!,#REF!,#REF!</definedName>
    <definedName name="hn.DZ_MultByFXRates" hidden="1">#REF!,#REF!,#REF!,#REF!</definedName>
    <definedName name="hn.ExtDb" hidden="1">FALSE</definedName>
    <definedName name="hn.LTM_MultByFXRates" localSheetId="4" hidden="1">#REF!,#REF!,#REF!,#REF!,#REF!,#REF!,#REF!</definedName>
    <definedName name="hn.LTM_MultByFXRates" localSheetId="24" hidden="1">[3]LTM!$G$461:$N$477,[3]LTM!$G$480:$N$539,[3]LTM!$G$548:$N$667,[3]LTM!$G$676:$N$1266,[3]LTM!$G$1454:$N$1461,[3]LTM!$G$1463:$N$1465,[3]LTM!$G$1468:$N$1469</definedName>
    <definedName name="hn.LTM_MultByFXRates" localSheetId="20" hidden="1">#REF!,#REF!,#REF!,#REF!,#REF!,#REF!,#REF!</definedName>
    <definedName name="hn.LTM_MultByFXRates" localSheetId="16" hidden="1">#REF!,#REF!,#REF!,#REF!,#REF!,#REF!,#REF!</definedName>
    <definedName name="hn.LTM_MultByFXRates" localSheetId="21" hidden="1">#REF!,#REF!,#REF!,#REF!,#REF!,#REF!,#REF!</definedName>
    <definedName name="hn.LTM_MultByFXRates" hidden="1">#REF!,#REF!,#REF!,#REF!,#REF!,#REF!,#REF!</definedName>
    <definedName name="hn.ModelType" hidden="1">"DEAL"</definedName>
    <definedName name="hn.ModelVersion" hidden="1">1</definedName>
    <definedName name="hn.MultbyFXRates" localSheetId="4" hidden="1">#REF!,#REF!,#REF!,#REF!,#REF!,#REF!,#REF!</definedName>
    <definedName name="hn.MultbyFXRates" localSheetId="24" hidden="1">[3]LTM!$G$461:$N$477,[3]LTM!$G$480:$N$539,[3]LTM!$G$548:$N$667,[3]LTM!$G$676:$N$1266,[3]LTM!$G$1454:$N$1461,[3]LTM!$G$1463:$N$1465,[3]LTM!$G$1468:$N$1469</definedName>
    <definedName name="hn.MultbyFXRates" localSheetId="20" hidden="1">#REF!,#REF!,#REF!,#REF!,#REF!,#REF!,#REF!</definedName>
    <definedName name="hn.MultbyFXRates" localSheetId="16" hidden="1">#REF!,#REF!,#REF!,#REF!,#REF!,#REF!,#REF!</definedName>
    <definedName name="hn.MultbyFXRates" localSheetId="21" hidden="1">#REF!,#REF!,#REF!,#REF!,#REF!,#REF!,#REF!</definedName>
    <definedName name="hn.MultbyFXRates" hidden="1">#REF!,#REF!,#REF!,#REF!,#REF!,#REF!,#REF!</definedName>
    <definedName name="hn.MultByFXRates1" localSheetId="4" hidden="1">#REF!,#REF!,#REF!,#REF!,#REF!</definedName>
    <definedName name="hn.MultByFXRates1" localSheetId="24" hidden="1">[3]LTM!$G$461:$G$477,[3]LTM!$G$480:$G$539,[3]LTM!$G$548:$G$562,[3]LTM!$G$676:$G$840,[3]LTM!$G$1454:$G$1469</definedName>
    <definedName name="hn.MultByFXRates1" localSheetId="20" hidden="1">#REF!,#REF!,#REF!,#REF!,#REF!</definedName>
    <definedName name="hn.MultByFXRates1" localSheetId="16" hidden="1">#REF!,#REF!,#REF!,#REF!,#REF!</definedName>
    <definedName name="hn.MultByFXRates1" localSheetId="21" hidden="1">#REF!,#REF!,#REF!,#REF!,#REF!</definedName>
    <definedName name="hn.MultByFXRates1" hidden="1">#REF!,#REF!,#REF!,#REF!,#REF!</definedName>
    <definedName name="hn.MultByFXRates2" localSheetId="4" hidden="1">#REF!,#REF!,#REF!,#REF!,#REF!</definedName>
    <definedName name="hn.MultByFXRates2" localSheetId="24" hidden="1">[3]LTM!$H$461:$H$477,[3]LTM!$H$480:$H$539,[3]LTM!$H$548:$H$667,[3]LTM!$H$676:$H$1266,[3]LTM!$H$1454:$H$1469</definedName>
    <definedName name="hn.MultByFXRates2" localSheetId="20" hidden="1">#REF!,#REF!,#REF!,#REF!,#REF!</definedName>
    <definedName name="hn.MultByFXRates2" localSheetId="16" hidden="1">#REF!,#REF!,#REF!,#REF!,#REF!</definedName>
    <definedName name="hn.MultByFXRates2" localSheetId="21" hidden="1">#REF!,#REF!,#REF!,#REF!,#REF!</definedName>
    <definedName name="hn.MultByFXRates2" hidden="1">#REF!,#REF!,#REF!,#REF!,#REF!</definedName>
    <definedName name="hn.MultByFXRates3" localSheetId="4" hidden="1">#REF!,#REF!,#REF!,#REF!,#REF!</definedName>
    <definedName name="hn.MultByFXRates3" localSheetId="24" hidden="1">[3]LTM!$I$461:$I$477,[3]LTM!$I$480:$I$539,[3]LTM!$I$548:$I$667,[3]LTM!$I$676:$I$1266,[3]LTM!$I$1454:$I$1469</definedName>
    <definedName name="hn.MultByFXRates3" localSheetId="20" hidden="1">#REF!,#REF!,#REF!,#REF!,#REF!</definedName>
    <definedName name="hn.MultByFXRates3" localSheetId="16" hidden="1">#REF!,#REF!,#REF!,#REF!,#REF!</definedName>
    <definedName name="hn.MultByFXRates3" localSheetId="21" hidden="1">#REF!,#REF!,#REF!,#REF!,#REF!</definedName>
    <definedName name="hn.MultByFXRates3" hidden="1">#REF!,#REF!,#REF!,#REF!,#REF!</definedName>
    <definedName name="hn.MultbyFxrates4" localSheetId="4" hidden="1">#REF!,#REF!,#REF!,#REF!,#REF!,#REF!,#REF!</definedName>
    <definedName name="hn.MultbyFxrates4" localSheetId="24" hidden="1">[3]LTM!$J$461:$J$477,[3]LTM!$J$480:$J$539,[3]LTM!$J$548:$J$668,[3]LTM!$J$676:$J$1266,[3]LTM!$J$1454:$J$1461,[3]LTM!$J$1463:$J$1465,[3]LTM!$J$1468</definedName>
    <definedName name="hn.MultbyFxrates4" localSheetId="20" hidden="1">#REF!,#REF!,#REF!,#REF!,#REF!,#REF!,#REF!</definedName>
    <definedName name="hn.MultbyFxrates4" localSheetId="16" hidden="1">#REF!,#REF!,#REF!,#REF!,#REF!,#REF!,#REF!</definedName>
    <definedName name="hn.MultbyFxrates4" localSheetId="21" hidden="1">#REF!,#REF!,#REF!,#REF!,#REF!,#REF!,#REF!</definedName>
    <definedName name="hn.MultbyFxrates4" hidden="1">#REF!,#REF!,#REF!,#REF!,#REF!,#REF!,#REF!</definedName>
    <definedName name="hn.multbyfxrates5" localSheetId="4" hidden="1">#REF!,#REF!,#REF!,#REF!,#REF!</definedName>
    <definedName name="hn.multbyfxrates5" localSheetId="24" hidden="1">[3]LTM!$L$461:$L$477,[3]LTM!$L$480:$L$539,[3]LTM!$L$548:$L$562,[3]LTM!$L$676:$L$840,[3]LTM!$L$1454:$L$1469</definedName>
    <definedName name="hn.multbyfxrates5" localSheetId="20" hidden="1">#REF!,#REF!,#REF!,#REF!,#REF!</definedName>
    <definedName name="hn.multbyfxrates5" localSheetId="16" hidden="1">#REF!,#REF!,#REF!,#REF!,#REF!</definedName>
    <definedName name="hn.multbyfxrates5" localSheetId="21" hidden="1">#REF!,#REF!,#REF!,#REF!,#REF!</definedName>
    <definedName name="hn.multbyfxrates5" hidden="1">#REF!,#REF!,#REF!,#REF!,#REF!</definedName>
    <definedName name="hn.multbyfxrates6" localSheetId="4" hidden="1">#REF!,#REF!,#REF!,#REF!,#REF!</definedName>
    <definedName name="hn.multbyfxrates6" localSheetId="24" hidden="1">[3]LTM!$M$461:$M$477,[3]LTM!$M$480:$M$539,[3]LTM!$M$548:$M$668,[3]LTM!$M$676:$M$1266,[3]LTM!$M$1454:$M$1469</definedName>
    <definedName name="hn.multbyfxrates6" localSheetId="20" hidden="1">#REF!,#REF!,#REF!,#REF!,#REF!</definedName>
    <definedName name="hn.multbyfxrates6" localSheetId="16" hidden="1">#REF!,#REF!,#REF!,#REF!,#REF!</definedName>
    <definedName name="hn.multbyfxrates6" localSheetId="21" hidden="1">#REF!,#REF!,#REF!,#REF!,#REF!</definedName>
    <definedName name="hn.multbyfxrates6" hidden="1">#REF!,#REF!,#REF!,#REF!,#REF!</definedName>
    <definedName name="hn.multbyfxrates7" localSheetId="4" hidden="1">#REF!,#REF!,#REF!,#REF!,#REF!</definedName>
    <definedName name="hn.multbyfxrates7" localSheetId="24" hidden="1">[3]LTM!$N$461:$N$477,[3]LTM!$N$480:$N$539,[3]LTM!$N$548:$N$667,[3]LTM!$N$676:$N$1266,[3]LTM!$N$1454:$N$1469</definedName>
    <definedName name="hn.multbyfxrates7" localSheetId="20" hidden="1">#REF!,#REF!,#REF!,#REF!,#REF!</definedName>
    <definedName name="hn.multbyfxrates7" localSheetId="16" hidden="1">#REF!,#REF!,#REF!,#REF!,#REF!</definedName>
    <definedName name="hn.multbyfxrates7" localSheetId="21" hidden="1">#REF!,#REF!,#REF!,#REF!,#REF!</definedName>
    <definedName name="hn.multbyfxrates7" hidden="1">#REF!,#REF!,#REF!,#REF!,#REF!</definedName>
    <definedName name="hn.MultByFXRatesBot1" localSheetId="4" hidden="1">#REF!,#REF!,#REF!,#REF!,#REF!,#REF!,#REF!,#REF!,#REF!,#REF!,#REF!,#REF!</definedName>
    <definedName name="hn.MultByFXRatesBot1" localSheetId="24" hidden="1">[3]LTM!$G$676:$G$682,[3]LTM!$G$686,[3]LTM!$G$688:$G$694,[3]LTM!$G$699:$G$706,[3]LTM!$G$710:$G$714,[3]LTM!$G$717:$G$734,[3]LTM!$G$738,[3]LTM!$G$738,[3]LTM!$G$745:$G$751,[3]LTM!$G$840,[3]LTM!$G$1454:$G$1461,[3]LTM!$G$1468:$G$1469</definedName>
    <definedName name="hn.MultByFXRatesBot1" localSheetId="20" hidden="1">#REF!,#REF!,#REF!,#REF!,#REF!,#REF!,#REF!,#REF!,#REF!,#REF!,#REF!,#REF!</definedName>
    <definedName name="hn.MultByFXRatesBot1" localSheetId="16" hidden="1">#REF!,#REF!,#REF!,#REF!,#REF!,#REF!,#REF!,#REF!,#REF!,#REF!,#REF!,#REF!</definedName>
    <definedName name="hn.MultByFXRatesBot1" localSheetId="21" hidden="1">#REF!,#REF!,#REF!,#REF!,#REF!,#REF!,#REF!,#REF!,#REF!,#REF!,#REF!,#REF!</definedName>
    <definedName name="hn.MultByFXRatesBot1" hidden="1">#REF!,#REF!,#REF!,#REF!,#REF!,#REF!,#REF!,#REF!,#REF!,#REF!,#REF!,#REF!</definedName>
    <definedName name="hn.MultByFXRatesBot2" localSheetId="4" hidden="1">#REF!,#REF!,#REF!,#REF!,#REF!,#REF!,#REF!,#REF!,#REF!,#REF!,#REF!,#REF!</definedName>
    <definedName name="hn.MultByFXRatesBot2" localSheetId="24" hidden="1">[3]LTM!$H$676:$H$682,[3]LTM!$H$686,[3]LTM!$H$688:$H$694,[3]LTM!$H$699:$H$706,[3]LTM!$H$710:$H$714,[3]LTM!$H$717:$H$734,[3]LTM!$H$738,[3]LTM!$H$745:$H$751,[3]LTM!$H$840,[3]LTM!$H$1266,[3]LTM!$H$1454:$H$1461,[3]LTM!$H$1468:$H$1469</definedName>
    <definedName name="hn.MultByFXRatesBot2" localSheetId="20" hidden="1">#REF!,#REF!,#REF!,#REF!,#REF!,#REF!,#REF!,#REF!,#REF!,#REF!,#REF!,#REF!</definedName>
    <definedName name="hn.MultByFXRatesBot2" localSheetId="16" hidden="1">#REF!,#REF!,#REF!,#REF!,#REF!,#REF!,#REF!,#REF!,#REF!,#REF!,#REF!,#REF!</definedName>
    <definedName name="hn.MultByFXRatesBot2" localSheetId="21" hidden="1">#REF!,#REF!,#REF!,#REF!,#REF!,#REF!,#REF!,#REF!,#REF!,#REF!,#REF!,#REF!</definedName>
    <definedName name="hn.MultByFXRatesBot2" hidden="1">#REF!,#REF!,#REF!,#REF!,#REF!,#REF!,#REF!,#REF!,#REF!,#REF!,#REF!,#REF!</definedName>
    <definedName name="hn.MultByFXRatesBot3" localSheetId="4" hidden="1">#REF!,#REF!,#REF!,#REF!,#REF!,#REF!,#REF!,#REF!,#REF!,#REF!,#REF!,#REF!</definedName>
    <definedName name="hn.MultByFXRatesBot3" localSheetId="24" hidden="1">[3]LTM!$I$676:$I$682,[3]LTM!$I$686,[3]LTM!$I$688:$I$694,[3]LTM!$I$699:$I$706,[3]LTM!$I$710:$I$714,[3]LTM!$I$717:$I$734,[3]LTM!$I$738,[3]LTM!$I$745:$I$751,[3]LTM!$I$840,[3]LTM!$I$1266,[3]LTM!$I$1454:$I$1461,[3]LTM!$I$1468:$I$1469</definedName>
    <definedName name="hn.MultByFXRatesBot3" localSheetId="20" hidden="1">#REF!,#REF!,#REF!,#REF!,#REF!,#REF!,#REF!,#REF!,#REF!,#REF!,#REF!,#REF!</definedName>
    <definedName name="hn.MultByFXRatesBot3" localSheetId="16" hidden="1">#REF!,#REF!,#REF!,#REF!,#REF!,#REF!,#REF!,#REF!,#REF!,#REF!,#REF!,#REF!</definedName>
    <definedName name="hn.MultByFXRatesBot3" localSheetId="21" hidden="1">#REF!,#REF!,#REF!,#REF!,#REF!,#REF!,#REF!,#REF!,#REF!,#REF!,#REF!,#REF!</definedName>
    <definedName name="hn.MultByFXRatesBot3" hidden="1">#REF!,#REF!,#REF!,#REF!,#REF!,#REF!,#REF!,#REF!,#REF!,#REF!,#REF!,#REF!</definedName>
    <definedName name="hn.MultByFXRatesBot4" localSheetId="4" hidden="1">#REF!,#REF!,#REF!,#REF!,#REF!,#REF!,#REF!,#REF!,#REF!,#REF!,#REF!,#REF!,#REF!</definedName>
    <definedName name="hn.MultByFXRatesBot4" localSheetId="24" hidden="1">[3]LTM!$J$676:$J$682,[3]LTM!$J$686,[3]LTM!$J$688:$J$694,[3]LTM!$J$699:$J$706,[3]LTM!$J$710:$J$714,[3]LTM!$J$717:$J$734,[3]LTM!$J$738,[3]LTM!$J$745:$J$751,[3]LTM!$J$840,[3]LTM!$J$1266,[3]LTM!$J$1454:$J$1461,[3]LTM!$J$1463:$J$1465,[3]LTM!$J$1468</definedName>
    <definedName name="hn.MultByFXRatesBot4" localSheetId="20" hidden="1">#REF!,#REF!,#REF!,#REF!,#REF!,#REF!,#REF!,#REF!,#REF!,#REF!,#REF!,#REF!,#REF!</definedName>
    <definedName name="hn.MultByFXRatesBot4" localSheetId="16" hidden="1">#REF!,#REF!,#REF!,#REF!,#REF!,#REF!,#REF!,#REF!,#REF!,#REF!,#REF!,#REF!,#REF!</definedName>
    <definedName name="hn.MultByFXRatesBot4" localSheetId="21" hidden="1">#REF!,#REF!,#REF!,#REF!,#REF!,#REF!,#REF!,#REF!,#REF!,#REF!,#REF!,#REF!,#REF!</definedName>
    <definedName name="hn.MultByFXRatesBot4" hidden="1">#REF!,#REF!,#REF!,#REF!,#REF!,#REF!,#REF!,#REF!,#REF!,#REF!,#REF!,#REF!,#REF!</definedName>
    <definedName name="hn.MultByFXRatesBot5" localSheetId="4" hidden="1">#REF!,#REF!,#REF!,#REF!,#REF!,#REF!,#REF!,#REF!,#REF!,#REF!,#REF!</definedName>
    <definedName name="hn.MultByFXRatesBot5" localSheetId="24" hidden="1">[3]LTM!$L$676:$L$682,[3]LTM!$L$686,[3]LTM!$L$688:$L$694,[3]LTM!$L$699:$L$706,[3]LTM!$L$710:$L$714,[3]LTM!$L$717:$L$734,[3]LTM!$L$738,[3]LTM!$L$745:$L$751,[3]LTM!$L$837:$L$838,[3]LTM!$L$1454:$L$1458,[3]LTM!$L$1468:$L$1469</definedName>
    <definedName name="hn.MultByFXRatesBot5" localSheetId="20" hidden="1">#REF!,#REF!,#REF!,#REF!,#REF!,#REF!,#REF!,#REF!,#REF!,#REF!,#REF!</definedName>
    <definedName name="hn.MultByFXRatesBot5" localSheetId="16" hidden="1">#REF!,#REF!,#REF!,#REF!,#REF!,#REF!,#REF!,#REF!,#REF!,#REF!,#REF!</definedName>
    <definedName name="hn.MultByFXRatesBot5" localSheetId="21" hidden="1">#REF!,#REF!,#REF!,#REF!,#REF!,#REF!,#REF!,#REF!,#REF!,#REF!,#REF!</definedName>
    <definedName name="hn.MultByFXRatesBot5" hidden="1">#REF!,#REF!,#REF!,#REF!,#REF!,#REF!,#REF!,#REF!,#REF!,#REF!,#REF!</definedName>
    <definedName name="hn.MultByFXRatesBot6" localSheetId="4" hidden="1">#REF!,#REF!,#REF!,#REF!,#REF!,#REF!,#REF!,#REF!,#REF!,#REF!,#REF!</definedName>
    <definedName name="hn.MultByFXRatesBot6" localSheetId="24" hidden="1">[3]LTM!$M$676:$M$682,[3]LTM!$M$686,[3]LTM!$M$688:$M$694,[3]LTM!$M$699:$M$706,[3]LTM!$M$710:$M$714,[3]LTM!$M$717:$M$734,[3]LTM!$M$738,[3]LTM!$M$745:$M$751,[3]LTM!$M$837:$M$838,[3]LTM!$M$1454:$M$1458,[3]LTM!$M$1468:$M$1469</definedName>
    <definedName name="hn.MultByFXRatesBot6" localSheetId="20" hidden="1">#REF!,#REF!,#REF!,#REF!,#REF!,#REF!,#REF!,#REF!,#REF!,#REF!,#REF!</definedName>
    <definedName name="hn.MultByFXRatesBot6" localSheetId="16" hidden="1">#REF!,#REF!,#REF!,#REF!,#REF!,#REF!,#REF!,#REF!,#REF!,#REF!,#REF!</definedName>
    <definedName name="hn.MultByFXRatesBot6" localSheetId="21" hidden="1">#REF!,#REF!,#REF!,#REF!,#REF!,#REF!,#REF!,#REF!,#REF!,#REF!,#REF!</definedName>
    <definedName name="hn.MultByFXRatesBot6" hidden="1">#REF!,#REF!,#REF!,#REF!,#REF!,#REF!,#REF!,#REF!,#REF!,#REF!,#REF!</definedName>
    <definedName name="hn.MultByFXRatesBot7" localSheetId="4" hidden="1">#REF!,#REF!,#REF!,#REF!,#REF!,#REF!,#REF!,#REF!,#REF!,#REF!,#REF!</definedName>
    <definedName name="hn.MultByFXRatesBot7" localSheetId="24" hidden="1">[3]LTM!$N$676:$N$682,[3]LTM!$N$686,[3]LTM!$N$688:$N$694,[3]LTM!$N$699:$N$706,[3]LTM!$N$710:$N$714,[3]LTM!$N$717:$N$734,[3]LTM!$N$738,[3]LTM!$N$745:$N$751,[3]LTM!$N$837:$N$838,[3]LTM!$N$1454:$N$1458,[3]LTM!$N$1468:$N$1469</definedName>
    <definedName name="hn.MultByFXRatesBot7" localSheetId="20" hidden="1">#REF!,#REF!,#REF!,#REF!,#REF!,#REF!,#REF!,#REF!,#REF!,#REF!,#REF!</definedName>
    <definedName name="hn.MultByFXRatesBot7" localSheetId="16" hidden="1">#REF!,#REF!,#REF!,#REF!,#REF!,#REF!,#REF!,#REF!,#REF!,#REF!,#REF!</definedName>
    <definedName name="hn.MultByFXRatesBot7" localSheetId="21" hidden="1">#REF!,#REF!,#REF!,#REF!,#REF!,#REF!,#REF!,#REF!,#REF!,#REF!,#REF!</definedName>
    <definedName name="hn.MultByFXRatesBot7" hidden="1">#REF!,#REF!,#REF!,#REF!,#REF!,#REF!,#REF!,#REF!,#REF!,#REF!,#REF!</definedName>
    <definedName name="hn.MultByFXRatesTop1" localSheetId="4" hidden="1">#REF!,#REF!,#REF!,#REF!,#REF!,#REF!,#REF!,#REF!,#REF!,#REF!,#REF!,#REF!</definedName>
    <definedName name="hn.MultByFXRatesTop1" localSheetId="24" hidden="1">[3]LTM!$G$461,[3]LTM!$G$463:$G$464,[3]LTM!$G$468:$G$469,[3]LTM!$G$473:$G$475,[3]LTM!$G$480,[3]LTM!$G$484:$G$485,[3]LTM!$G$490:$G$509,[3]LTM!$G$512,[3]LTM!$G$514:$G$518,[3]LTM!$G$525:$G$526,[3]LTM!$G$532:$G$537,[3]LTM!$G$560</definedName>
    <definedName name="hn.MultByFXRatesTop1" localSheetId="20" hidden="1">#REF!,#REF!,#REF!,#REF!,#REF!,#REF!,#REF!,#REF!,#REF!,#REF!,#REF!,#REF!</definedName>
    <definedName name="hn.MultByFXRatesTop1" localSheetId="16" hidden="1">#REF!,#REF!,#REF!,#REF!,#REF!,#REF!,#REF!,#REF!,#REF!,#REF!,#REF!,#REF!</definedName>
    <definedName name="hn.MultByFXRatesTop1" localSheetId="21" hidden="1">#REF!,#REF!,#REF!,#REF!,#REF!,#REF!,#REF!,#REF!,#REF!,#REF!,#REF!,#REF!</definedName>
    <definedName name="hn.MultByFXRatesTop1" hidden="1">#REF!,#REF!,#REF!,#REF!,#REF!,#REF!,#REF!,#REF!,#REF!,#REF!,#REF!,#REF!</definedName>
    <definedName name="hn.MultByFXRatesTop2" localSheetId="4" hidden="1">#REF!,#REF!,#REF!,#REF!,#REF!,#REF!,#REF!,#REF!,#REF!,#REF!,#REF!,#REF!,#REF!,#REF!,#REF!</definedName>
    <definedName name="hn.MultByFXRatesTop2" localSheetId="24" hidden="1">[3]LTM!$H$461,[3]LTM!$H$463:$H$464,[3]LTM!$H$468:$H$469,[3]LTM!$H$473:$H$475,[3]LTM!$H$480,[3]LTM!$H$484:$H$485,[3]LTM!$H$490:$H$509,[3]LTM!$H$512,[3]LTM!$H$514:$H$518,[3]LTM!$H$525:$H$526,[3]LTM!$H$532:$H$537,[3]LTM!$H$560,[3]LTM!$H$590:$H$591,[3]LTM!$H$614:$H$631,[3]LTM!$H$635:$H$636</definedName>
    <definedName name="hn.MultByFXRatesTop2" localSheetId="20" hidden="1">#REF!,#REF!,#REF!,#REF!,#REF!,#REF!,#REF!,#REF!,#REF!,#REF!,#REF!,#REF!,#REF!,#REF!,#REF!</definedName>
    <definedName name="hn.MultByFXRatesTop2" localSheetId="16" hidden="1">#REF!,#REF!,#REF!,#REF!,#REF!,#REF!,#REF!,#REF!,#REF!,#REF!,#REF!,#REF!,#REF!,#REF!,#REF!</definedName>
    <definedName name="hn.MultByFXRatesTop2" localSheetId="21" hidden="1">#REF!,#REF!,#REF!,#REF!,#REF!,#REF!,#REF!,#REF!,#REF!,#REF!,#REF!,#REF!,#REF!,#REF!,#REF!</definedName>
    <definedName name="hn.MultByFXRatesTop2" hidden="1">#REF!,#REF!,#REF!,#REF!,#REF!,#REF!,#REF!,#REF!,#REF!,#REF!,#REF!,#REF!,#REF!,#REF!,#REF!</definedName>
    <definedName name="hn.MultByFXRatesTop3" localSheetId="4" hidden="1">#REF!,#REF!,#REF!,#REF!,#REF!,#REF!,#REF!,#REF!,#REF!,#REF!,#REF!,#REF!,#REF!,#REF!,#REF!</definedName>
    <definedName name="hn.MultByFXRatesTop3" localSheetId="24" hidden="1">[3]LTM!$I$461,[3]LTM!$I$463:$I$464,[3]LTM!$I$468:$I$469,[3]LTM!$I$473:$I$475,[3]LTM!$I$480,[3]LTM!$I$484:$I$485,[3]LTM!$I$490:$I$509,[3]LTM!$I$512,[3]LTM!$I$514:$I$518,[3]LTM!$I$525:$I$526,[3]LTM!$I$532:$I$537,[3]LTM!$I$560,[3]LTM!$I$590:$I$591,[3]LTM!$I$614:$I$631,[3]LTM!$I$635:$I$636</definedName>
    <definedName name="hn.MultByFXRatesTop3" localSheetId="20" hidden="1">#REF!,#REF!,#REF!,#REF!,#REF!,#REF!,#REF!,#REF!,#REF!,#REF!,#REF!,#REF!,#REF!,#REF!,#REF!</definedName>
    <definedName name="hn.MultByFXRatesTop3" localSheetId="16" hidden="1">#REF!,#REF!,#REF!,#REF!,#REF!,#REF!,#REF!,#REF!,#REF!,#REF!,#REF!,#REF!,#REF!,#REF!,#REF!</definedName>
    <definedName name="hn.MultByFXRatesTop3" localSheetId="21" hidden="1">#REF!,#REF!,#REF!,#REF!,#REF!,#REF!,#REF!,#REF!,#REF!,#REF!,#REF!,#REF!,#REF!,#REF!,#REF!</definedName>
    <definedName name="hn.MultByFXRatesTop3" hidden="1">#REF!,#REF!,#REF!,#REF!,#REF!,#REF!,#REF!,#REF!,#REF!,#REF!,#REF!,#REF!,#REF!,#REF!,#REF!</definedName>
    <definedName name="hn.MultByFXRatesTop4" localSheetId="4" hidden="1">#REF!,#REF!,#REF!,#REF!,#REF!,#REF!,#REF!,#REF!,#REF!,#REF!,#REF!,#REF!,#REF!,#REF!,#REF!</definedName>
    <definedName name="hn.MultByFXRatesTop4" localSheetId="24" hidden="1">[3]LTM!$J$461,[3]LTM!$J$463:$J$464,[3]LTM!$J$468:$J$469,[3]LTM!$J$473:$J$475,[3]LTM!$J$480,[3]LTM!$J$484:$J$485,[3]LTM!$J$490:$J$509,[3]LTM!$J$512,[3]LTM!$J$514:$J$518,[3]LTM!$J$525:$J$526,[3]LTM!$J$532:$J$537,[3]LTM!$J$560,[3]LTM!$J$590:$J$591,[3]LTM!$J$614:$J$631,[3]LTM!$J$635:$J$636</definedName>
    <definedName name="hn.MultByFXRatesTop4" localSheetId="20" hidden="1">#REF!,#REF!,#REF!,#REF!,#REF!,#REF!,#REF!,#REF!,#REF!,#REF!,#REF!,#REF!,#REF!,#REF!,#REF!</definedName>
    <definedName name="hn.MultByFXRatesTop4" localSheetId="16" hidden="1">#REF!,#REF!,#REF!,#REF!,#REF!,#REF!,#REF!,#REF!,#REF!,#REF!,#REF!,#REF!,#REF!,#REF!,#REF!</definedName>
    <definedName name="hn.MultByFXRatesTop4" localSheetId="21" hidden="1">#REF!,#REF!,#REF!,#REF!,#REF!,#REF!,#REF!,#REF!,#REF!,#REF!,#REF!,#REF!,#REF!,#REF!,#REF!</definedName>
    <definedName name="hn.MultByFXRatesTop4" hidden="1">#REF!,#REF!,#REF!,#REF!,#REF!,#REF!,#REF!,#REF!,#REF!,#REF!,#REF!,#REF!,#REF!,#REF!,#REF!</definedName>
    <definedName name="hn.MultByFXRatesTop5" localSheetId="4" hidden="1">#REF!,#REF!,#REF!,#REF!,#REF!,#REF!,#REF!,#REF!,#REF!,#REF!,#REF!,#REF!</definedName>
    <definedName name="hn.MultByFXRatesTop5" localSheetId="24" hidden="1">[3]LTM!$L$461,[3]LTM!$L$463:$L$464,[3]LTM!$L$468:$L$469,[3]LTM!$L$473:$L$475,[3]LTM!$L$480,[3]LTM!$L$484:$L$485,[3]LTM!$L$490:$L$509,[3]LTM!$L$512,[3]LTM!$L$514:$L$518,[3]LTM!$L$525:$L$526,[3]LTM!$L$532:$L$537,[3]LTM!$L$560</definedName>
    <definedName name="hn.MultByFXRatesTop5" localSheetId="20" hidden="1">#REF!,#REF!,#REF!,#REF!,#REF!,#REF!,#REF!,#REF!,#REF!,#REF!,#REF!,#REF!</definedName>
    <definedName name="hn.MultByFXRatesTop5" localSheetId="16" hidden="1">#REF!,#REF!,#REF!,#REF!,#REF!,#REF!,#REF!,#REF!,#REF!,#REF!,#REF!,#REF!</definedName>
    <definedName name="hn.MultByFXRatesTop5" localSheetId="21" hidden="1">#REF!,#REF!,#REF!,#REF!,#REF!,#REF!,#REF!,#REF!,#REF!,#REF!,#REF!,#REF!</definedName>
    <definedName name="hn.MultByFXRatesTop5" hidden="1">#REF!,#REF!,#REF!,#REF!,#REF!,#REF!,#REF!,#REF!,#REF!,#REF!,#REF!,#REF!</definedName>
    <definedName name="hn.MultByFXRatesTop6" localSheetId="4" hidden="1">#REF!,#REF!,#REF!,#REF!,#REF!,#REF!,#REF!,#REF!,#REF!,#REF!,#REF!,#REF!,#REF!,#REF!,#REF!</definedName>
    <definedName name="hn.MultByFXRatesTop6" localSheetId="24" hidden="1">[3]LTM!$M$461,[3]LTM!$M$463:$M$464,[3]LTM!$M$468:$M$469,[3]LTM!$M$473:$M$475,[3]LTM!$M$480,[3]LTM!$M$484:$M$485,[3]LTM!$M$490:$M$509,[3]LTM!$M$512,[3]LTM!$M$514:$M$518,[3]LTM!$M$525:$M$526,[3]LTM!$M$532:$M$537,[3]LTM!$M$560,[3]LTM!$M$590:$M$591,[3]LTM!$M$614:$M$631,[3]LTM!$M$635:$M$636</definedName>
    <definedName name="hn.MultByFXRatesTop6" localSheetId="20" hidden="1">#REF!,#REF!,#REF!,#REF!,#REF!,#REF!,#REF!,#REF!,#REF!,#REF!,#REF!,#REF!,#REF!,#REF!,#REF!</definedName>
    <definedName name="hn.MultByFXRatesTop6" localSheetId="16" hidden="1">#REF!,#REF!,#REF!,#REF!,#REF!,#REF!,#REF!,#REF!,#REF!,#REF!,#REF!,#REF!,#REF!,#REF!,#REF!</definedName>
    <definedName name="hn.MultByFXRatesTop6" localSheetId="21" hidden="1">#REF!,#REF!,#REF!,#REF!,#REF!,#REF!,#REF!,#REF!,#REF!,#REF!,#REF!,#REF!,#REF!,#REF!,#REF!</definedName>
    <definedName name="hn.MultByFXRatesTop6" hidden="1">#REF!,#REF!,#REF!,#REF!,#REF!,#REF!,#REF!,#REF!,#REF!,#REF!,#REF!,#REF!,#REF!,#REF!,#REF!</definedName>
    <definedName name="hn.MultByFXRatesTop7" localSheetId="4" hidden="1">#REF!,#REF!,#REF!,#REF!,#REF!,#REF!,#REF!,#REF!,#REF!,#REF!,#REF!,#REF!,#REF!,#REF!,#REF!</definedName>
    <definedName name="hn.MultByFXRatesTop7" localSheetId="24" hidden="1">[3]LTM!$N$461,[3]LTM!$N$463:$N$464,[3]LTM!$N$468:$N$469,[3]LTM!$N$473:$N$475,[3]LTM!$N$480,[3]LTM!$N$484:$N$485,[3]LTM!$N$490:$N$509,[3]LTM!$N$512,[3]LTM!$N$514:$N$518,[3]LTM!$N$525:$N$526,[3]LTM!$N$532:$N$537,[3]LTM!$N$560,[3]LTM!$N$590:$N$591,[3]LTM!$N$614:$N$631,[3]LTM!$N$635:$N$636</definedName>
    <definedName name="hn.MultByFXRatesTop7" localSheetId="20" hidden="1">#REF!,#REF!,#REF!,#REF!,#REF!,#REF!,#REF!,#REF!,#REF!,#REF!,#REF!,#REF!,#REF!,#REF!,#REF!</definedName>
    <definedName name="hn.MultByFXRatesTop7" localSheetId="16" hidden="1">#REF!,#REF!,#REF!,#REF!,#REF!,#REF!,#REF!,#REF!,#REF!,#REF!,#REF!,#REF!,#REF!,#REF!,#REF!</definedName>
    <definedName name="hn.MultByFXRatesTop7" localSheetId="21" hidden="1">#REF!,#REF!,#REF!,#REF!,#REF!,#REF!,#REF!,#REF!,#REF!,#REF!,#REF!,#REF!,#REF!,#REF!,#REF!</definedName>
    <definedName name="hn.MultByFXRatesTop7" hidden="1">#REF!,#REF!,#REF!,#REF!,#REF!,#REF!,#REF!,#REF!,#REF!,#REF!,#REF!,#REF!,#REF!,#REF!,#REF!</definedName>
    <definedName name="hn.NoUpload" hidden="1">0</definedName>
    <definedName name="hn.YearLabel" localSheetId="4" hidden="1">#REF!</definedName>
    <definedName name="hn.YearLabel" localSheetId="24" hidden="1">#REF!</definedName>
    <definedName name="hn.YearLabel" localSheetId="20" hidden="1">#REF!</definedName>
    <definedName name="hn.YearLabel" localSheetId="16" hidden="1">#REF!</definedName>
    <definedName name="hn.YearLabel" localSheetId="21" hidden="1">#REF!</definedName>
    <definedName name="hn.YearLabel" hidden="1">#REF!</definedName>
    <definedName name="Incomepb" localSheetId="4" hidden="1">#REF!</definedName>
    <definedName name="Incomepb" localSheetId="24" hidden="1">#REF!</definedName>
    <definedName name="Incomepb" localSheetId="20" hidden="1">#REF!</definedName>
    <definedName name="Incomepb" localSheetId="16" hidden="1">#REF!</definedName>
    <definedName name="Incomepb" localSheetId="21" hidden="1">#REF!</definedName>
    <definedName name="Incomepb" hidden="1">#REF!</definedName>
    <definedName name="ins">[4]Resumen!$G$37</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sSecureRevolver" localSheetId="4" hidden="1">#REF!</definedName>
    <definedName name="IsSecureRevolver" localSheetId="24" hidden="1">#REF!</definedName>
    <definedName name="IsSecureRevolver" localSheetId="20" hidden="1">#REF!</definedName>
    <definedName name="IsSecureRevolver" localSheetId="16" hidden="1">#REF!</definedName>
    <definedName name="IsSecureRevolver" localSheetId="21" hidden="1">#REF!</definedName>
    <definedName name="IsSecureRevolver" hidden="1">#REF!</definedName>
    <definedName name="IsSecureSenior1" localSheetId="4" hidden="1">#REF!</definedName>
    <definedName name="IsSecureSenior1" localSheetId="24" hidden="1">#REF!</definedName>
    <definedName name="IsSecureSenior1" localSheetId="20" hidden="1">#REF!</definedName>
    <definedName name="IsSecureSenior1" localSheetId="16" hidden="1">#REF!</definedName>
    <definedName name="IsSecureSenior1" localSheetId="21" hidden="1">#REF!</definedName>
    <definedName name="IsSecureSenior1" hidden="1">#REF!</definedName>
    <definedName name="IsSecureSenior2" localSheetId="4" hidden="1">#REF!</definedName>
    <definedName name="IsSecureSenior2" localSheetId="24" hidden="1">#REF!</definedName>
    <definedName name="IsSecureSenior2" localSheetId="20" hidden="1">#REF!</definedName>
    <definedName name="IsSecureSenior2" localSheetId="16" hidden="1">#REF!</definedName>
    <definedName name="IsSecureSenior2" localSheetId="21" hidden="1">#REF!</definedName>
    <definedName name="IsSecureSenior2" hidden="1">#REF!</definedName>
    <definedName name="IsSecureSenior3" localSheetId="4" hidden="1">#REF!</definedName>
    <definedName name="IsSecureSenior3" localSheetId="24" hidden="1">#REF!</definedName>
    <definedName name="IsSecureSenior3" localSheetId="20" hidden="1">#REF!</definedName>
    <definedName name="IsSecureSenior3" localSheetId="16" hidden="1">#REF!</definedName>
    <definedName name="IsSecureSenior3" localSheetId="21" hidden="1">#REF!</definedName>
    <definedName name="IsSecureSenior3" hidden="1">#REF!</definedName>
    <definedName name="IsSecureSenior4" localSheetId="4" hidden="1">#REF!</definedName>
    <definedName name="IsSecureSenior4" localSheetId="24" hidden="1">#REF!</definedName>
    <definedName name="IsSecureSenior4" localSheetId="20" hidden="1">#REF!</definedName>
    <definedName name="IsSecureSenior4" localSheetId="16" hidden="1">#REF!</definedName>
    <definedName name="IsSecureSenior4" localSheetId="21" hidden="1">#REF!</definedName>
    <definedName name="IsSecureSenior4" hidden="1">#REF!</definedName>
    <definedName name="IsSecureSenior5" localSheetId="4" hidden="1">#REF!</definedName>
    <definedName name="IsSecureSenior5" localSheetId="24" hidden="1">#REF!</definedName>
    <definedName name="IsSecureSenior5" localSheetId="20" hidden="1">#REF!</definedName>
    <definedName name="IsSecureSenior5" localSheetId="16" hidden="1">#REF!</definedName>
    <definedName name="IsSecureSenior5" localSheetId="21" hidden="1">#REF!</definedName>
    <definedName name="IsSecureSenior5" hidden="1">#REF!</definedName>
    <definedName name="IsSecureSenior6" localSheetId="4" hidden="1">#REF!</definedName>
    <definedName name="IsSecureSenior6" localSheetId="24" hidden="1">#REF!</definedName>
    <definedName name="IsSecureSenior6" localSheetId="20" hidden="1">#REF!</definedName>
    <definedName name="IsSecureSenior6" localSheetId="16" hidden="1">#REF!</definedName>
    <definedName name="IsSecureSenior6" localSheetId="21" hidden="1">#REF!</definedName>
    <definedName name="IsSecureSenior6" hidden="1">#REF!</definedName>
    <definedName name="IsSecureSenior7" localSheetId="4" hidden="1">#REF!</definedName>
    <definedName name="IsSecureSenior7" localSheetId="24" hidden="1">#REF!</definedName>
    <definedName name="IsSecureSenior7" localSheetId="20" hidden="1">#REF!</definedName>
    <definedName name="IsSecureSenior7" localSheetId="16" hidden="1">#REF!</definedName>
    <definedName name="IsSecureSenior7" localSheetId="21" hidden="1">#REF!</definedName>
    <definedName name="IsSecureSenior7" hidden="1">#REF!</definedName>
    <definedName name="jklj" localSheetId="4" hidden="1">#REF!</definedName>
    <definedName name="jklj" localSheetId="24" hidden="1">#REF!</definedName>
    <definedName name="jklj" localSheetId="20" hidden="1">#REF!</definedName>
    <definedName name="jklj" localSheetId="16" hidden="1">#REF!</definedName>
    <definedName name="jklj" localSheetId="21" hidden="1">#REF!</definedName>
    <definedName name="jklj" hidden="1">#REF!</definedName>
    <definedName name="KO" localSheetId="4" hidden="1">#REF!</definedName>
    <definedName name="KO" localSheetId="24" hidden="1">#REF!</definedName>
    <definedName name="KO" localSheetId="20" hidden="1">#REF!</definedName>
    <definedName name="KO" localSheetId="16" hidden="1">#REF!</definedName>
    <definedName name="KO" localSheetId="21" hidden="1">#REF!</definedName>
    <definedName name="KO" hidden="1">#REF!</definedName>
    <definedName name="Left_Header" localSheetId="4" hidden="1">#REF!</definedName>
    <definedName name="Left_Header" localSheetId="24" hidden="1">#REF!</definedName>
    <definedName name="Left_Header" localSheetId="20" hidden="1">#REF!</definedName>
    <definedName name="Left_Header" localSheetId="16" hidden="1">#REF!</definedName>
    <definedName name="Left_Header" localSheetId="21" hidden="1">#REF!</definedName>
    <definedName name="Left_Header" hidden="1">#REF!</definedName>
    <definedName name="limcount" hidden="1">1</definedName>
    <definedName name="mama" localSheetId="4" hidden="1">#REF!</definedName>
    <definedName name="mama" localSheetId="24" hidden="1">'[5]Datos-Gráfica-Apartada'!#REF!</definedName>
    <definedName name="mama" localSheetId="20" hidden="1">#REF!</definedName>
    <definedName name="mama" localSheetId="16" hidden="1">#REF!</definedName>
    <definedName name="mama" localSheetId="21" hidden="1">#REF!</definedName>
    <definedName name="mama" hidden="1">#REF!</definedName>
    <definedName name="OBS_Data_Col" localSheetId="4" hidden="1">#REF!</definedName>
    <definedName name="OBS_Data_Col" localSheetId="24" hidden="1">#REF!</definedName>
    <definedName name="OBS_Data_Col" localSheetId="20" hidden="1">#REF!</definedName>
    <definedName name="OBS_Data_Col" localSheetId="16" hidden="1">#REF!</definedName>
    <definedName name="OBS_Data_Col" localSheetId="21" hidden="1">#REF!</definedName>
    <definedName name="OBS_Data_Col" hidden="1">#REF!</definedName>
    <definedName name="Openingpb" localSheetId="4" hidden="1">#REF!</definedName>
    <definedName name="Openingpb" localSheetId="24" hidden="1">#REF!</definedName>
    <definedName name="Openingpb" localSheetId="20" hidden="1">#REF!</definedName>
    <definedName name="Openingpb" localSheetId="16" hidden="1">#REF!</definedName>
    <definedName name="Openingpb" localSheetId="21" hidden="1">#REF!</definedName>
    <definedName name="Openingpb" hidden="1">#REF!</definedName>
    <definedName name="OWNER" localSheetId="4" hidden="1">#REF!</definedName>
    <definedName name="OWNER" localSheetId="24" hidden="1">#REF!</definedName>
    <definedName name="OWNER" localSheetId="20" hidden="1">#REF!</definedName>
    <definedName name="OWNER" localSheetId="16" hidden="1">#REF!</definedName>
    <definedName name="OWNER" localSheetId="21" hidden="1">#REF!</definedName>
    <definedName name="OWNER" hidden="1">#REF!</definedName>
    <definedName name="p.BS" localSheetId="4" hidden="1">#REF!</definedName>
    <definedName name="p.BS" localSheetId="24" hidden="1">#REF!</definedName>
    <definedName name="p.BS" localSheetId="20" hidden="1">#REF!</definedName>
    <definedName name="p.BS" localSheetId="16" hidden="1">#REF!</definedName>
    <definedName name="p.BS" localSheetId="21" hidden="1">#REF!</definedName>
    <definedName name="p.BS" hidden="1">#REF!</definedName>
    <definedName name="p.BSAssumptions" localSheetId="4" hidden="1">#REF!</definedName>
    <definedName name="p.BSAssumptions" localSheetId="24" hidden="1">#REF!</definedName>
    <definedName name="p.BSAssumptions" localSheetId="20" hidden="1">#REF!</definedName>
    <definedName name="p.BSAssumptions" localSheetId="16" hidden="1">#REF!</definedName>
    <definedName name="p.BSAssumptions" localSheetId="21" hidden="1">#REF!</definedName>
    <definedName name="p.BSAssumptions" hidden="1">#REF!</definedName>
    <definedName name="p.CapStructure" localSheetId="4" hidden="1">#REF!</definedName>
    <definedName name="p.CapStructure" localSheetId="24" hidden="1">#REF!</definedName>
    <definedName name="p.CapStructure" localSheetId="20" hidden="1">#REF!</definedName>
    <definedName name="p.CapStructure" localSheetId="16" hidden="1">#REF!</definedName>
    <definedName name="p.CapStructure" localSheetId="21" hidden="1">#REF!</definedName>
    <definedName name="p.CapStructure" hidden="1">#REF!</definedName>
    <definedName name="p.CashFlow" localSheetId="4" hidden="1">#REF!</definedName>
    <definedName name="p.CashFlow" localSheetId="24" hidden="1">#REF!</definedName>
    <definedName name="p.CashFlow" localSheetId="20" hidden="1">#REF!</definedName>
    <definedName name="p.CashFlow" localSheetId="16" hidden="1">#REF!</definedName>
    <definedName name="p.CashFlow" localSheetId="21" hidden="1">#REF!</definedName>
    <definedName name="p.CashFlow" hidden="1">#REF!</definedName>
    <definedName name="p.Cover" localSheetId="4" hidden="1">#REF!</definedName>
    <definedName name="p.Cover" localSheetId="24" hidden="1">#REF!</definedName>
    <definedName name="p.Cover" localSheetId="20" hidden="1">#REF!</definedName>
    <definedName name="p.Cover" localSheetId="16" hidden="1">#REF!</definedName>
    <definedName name="p.Cover" localSheetId="21" hidden="1">#REF!</definedName>
    <definedName name="p.Cover" hidden="1">#REF!</definedName>
    <definedName name="p.Depreciation" localSheetId="4" hidden="1">#REF!</definedName>
    <definedName name="p.Depreciation" localSheetId="24" hidden="1">#REF!</definedName>
    <definedName name="p.Depreciation" localSheetId="20" hidden="1">#REF!</definedName>
    <definedName name="p.Depreciation" localSheetId="16" hidden="1">#REF!</definedName>
    <definedName name="p.Depreciation" localSheetId="21" hidden="1">#REF!</definedName>
    <definedName name="p.Depreciation" hidden="1">#REF!</definedName>
    <definedName name="p.Executive" localSheetId="4" hidden="1">#REF!</definedName>
    <definedName name="p.Executive" localSheetId="24" hidden="1">#REF!</definedName>
    <definedName name="p.Executive" localSheetId="20" hidden="1">#REF!</definedName>
    <definedName name="p.Executive" localSheetId="16" hidden="1">#REF!</definedName>
    <definedName name="p.Executive" localSheetId="21" hidden="1">#REF!</definedName>
    <definedName name="p.Executive" hidden="1">#REF!</definedName>
    <definedName name="p.FactSheet" localSheetId="4" hidden="1">#REF!</definedName>
    <definedName name="p.FactSheet" localSheetId="24" hidden="1">#REF!</definedName>
    <definedName name="p.FactSheet" localSheetId="20" hidden="1">#REF!</definedName>
    <definedName name="p.FactSheet" localSheetId="16" hidden="1">#REF!</definedName>
    <definedName name="p.FactSheet" localSheetId="21" hidden="1">#REF!</definedName>
    <definedName name="p.FactSheet" hidden="1">#REF!</definedName>
    <definedName name="p.IS" localSheetId="4" hidden="1">#REF!</definedName>
    <definedName name="p.IS" localSheetId="24" hidden="1">#REF!</definedName>
    <definedName name="p.IS" localSheetId="20" hidden="1">#REF!</definedName>
    <definedName name="p.IS" localSheetId="16" hidden="1">#REF!</definedName>
    <definedName name="p.IS" localSheetId="21" hidden="1">#REF!</definedName>
    <definedName name="p.IS" hidden="1">#REF!</definedName>
    <definedName name="p.ISAssumptions" localSheetId="4" hidden="1">#REF!</definedName>
    <definedName name="p.ISAssumptions" localSheetId="24" hidden="1">#REF!</definedName>
    <definedName name="p.ISAssumptions" localSheetId="20" hidden="1">#REF!</definedName>
    <definedName name="p.ISAssumptions" localSheetId="16" hidden="1">#REF!</definedName>
    <definedName name="p.ISAssumptions" localSheetId="21" hidden="1">#REF!</definedName>
    <definedName name="p.ISAssumptions" hidden="1">#REF!</definedName>
    <definedName name="p.OpeningBS" localSheetId="4" hidden="1">#REF!</definedName>
    <definedName name="p.OpeningBS" localSheetId="24" hidden="1">#REF!</definedName>
    <definedName name="p.OpeningBS" localSheetId="20" hidden="1">#REF!</definedName>
    <definedName name="p.OpeningBS" localSheetId="16" hidden="1">#REF!</definedName>
    <definedName name="p.OpeningBS" localSheetId="21" hidden="1">#REF!</definedName>
    <definedName name="p.OpeningBS" hidden="1">#REF!</definedName>
    <definedName name="p.TaxCalculation" localSheetId="4" hidden="1">#REF!</definedName>
    <definedName name="p.TaxCalculation" localSheetId="24" hidden="1">#REF!</definedName>
    <definedName name="p.TaxCalculation" localSheetId="20" hidden="1">#REF!</definedName>
    <definedName name="p.TaxCalculation" localSheetId="16" hidden="1">#REF!</definedName>
    <definedName name="p.TaxCalculation" localSheetId="21" hidden="1">#REF!</definedName>
    <definedName name="p.TaxCalculation" hidden="1">#REF!</definedName>
    <definedName name="Pal_Workbook_GUID" hidden="1">"MZ13F7WREF2M259BRMK8ILZK"</definedName>
    <definedName name="PASO" localSheetId="4" hidden="1">{#N/A,#N/A,TRUE,"INGENIERIA";#N/A,#N/A,TRUE,"COMPRAS";#N/A,#N/A,TRUE,"DIRECCION";#N/A,#N/A,TRUE,"RESUMEN"}</definedName>
    <definedName name="PASO" localSheetId="24" hidden="1">{#N/A,#N/A,TRUE,"INGENIERIA";#N/A,#N/A,TRUE,"COMPRAS";#N/A,#N/A,TRUE,"DIRECCION";#N/A,#N/A,TRUE,"RESUMEN"}</definedName>
    <definedName name="PASO" localSheetId="20" hidden="1">{#N/A,#N/A,TRUE,"INGENIERIA";#N/A,#N/A,TRUE,"COMPRAS";#N/A,#N/A,TRUE,"DIRECCION";#N/A,#N/A,TRUE,"RESUMEN"}</definedName>
    <definedName name="PASO" localSheetId="16" hidden="1">{#N/A,#N/A,TRUE,"INGENIERIA";#N/A,#N/A,TRUE,"COMPRAS";#N/A,#N/A,TRUE,"DIRECCION";#N/A,#N/A,TRUE,"RESUMEN"}</definedName>
    <definedName name="PASO" localSheetId="22" hidden="1">{#N/A,#N/A,TRUE,"INGENIERIA";#N/A,#N/A,TRUE,"COMPRAS";#N/A,#N/A,TRUE,"DIRECCION";#N/A,#N/A,TRUE,"RESUMEN"}</definedName>
    <definedName name="PASO" localSheetId="18" hidden="1">{#N/A,#N/A,TRUE,"INGENIERIA";#N/A,#N/A,TRUE,"COMPRAS";#N/A,#N/A,TRUE,"DIRECCION";#N/A,#N/A,TRUE,"RESUMEN"}</definedName>
    <definedName name="PASO" localSheetId="21" hidden="1">{#N/A,#N/A,TRUE,"INGENIERIA";#N/A,#N/A,TRUE,"COMPRAS";#N/A,#N/A,TRUE,"DIRECCION";#N/A,#N/A,TRUE,"RESUMEN"}</definedName>
    <definedName name="PASO" hidden="1">{#N/A,#N/A,TRUE,"INGENIERIA";#N/A,#N/A,TRUE,"COMPRAS";#N/A,#N/A,TRUE,"DIRECCION";#N/A,#N/A,TRUE,"RESUMEN"}</definedName>
    <definedName name="PASS" localSheetId="4" hidden="1">{#N/A,#N/A,TRUE,"INGENIERIA";#N/A,#N/A,TRUE,"COMPRAS";#N/A,#N/A,TRUE,"DIRECCION";#N/A,#N/A,TRUE,"RESUMEN"}</definedName>
    <definedName name="PASS" localSheetId="24" hidden="1">{#N/A,#N/A,TRUE,"INGENIERIA";#N/A,#N/A,TRUE,"COMPRAS";#N/A,#N/A,TRUE,"DIRECCION";#N/A,#N/A,TRUE,"RESUMEN"}</definedName>
    <definedName name="PASS" localSheetId="20" hidden="1">{#N/A,#N/A,TRUE,"INGENIERIA";#N/A,#N/A,TRUE,"COMPRAS";#N/A,#N/A,TRUE,"DIRECCION";#N/A,#N/A,TRUE,"RESUMEN"}</definedName>
    <definedName name="PASS" localSheetId="16" hidden="1">{#N/A,#N/A,TRUE,"INGENIERIA";#N/A,#N/A,TRUE,"COMPRAS";#N/A,#N/A,TRUE,"DIRECCION";#N/A,#N/A,TRUE,"RESUMEN"}</definedName>
    <definedName name="PASS" localSheetId="22" hidden="1">{#N/A,#N/A,TRUE,"INGENIERIA";#N/A,#N/A,TRUE,"COMPRAS";#N/A,#N/A,TRUE,"DIRECCION";#N/A,#N/A,TRUE,"RESUMEN"}</definedName>
    <definedName name="PASS" localSheetId="18" hidden="1">{#N/A,#N/A,TRUE,"INGENIERIA";#N/A,#N/A,TRUE,"COMPRAS";#N/A,#N/A,TRUE,"DIRECCION";#N/A,#N/A,TRUE,"RESUMEN"}</definedName>
    <definedName name="PASS" localSheetId="21" hidden="1">{#N/A,#N/A,TRUE,"INGENIERIA";#N/A,#N/A,TRUE,"COMPRAS";#N/A,#N/A,TRUE,"DIRECCION";#N/A,#N/A,TRUE,"RESUMEN"}</definedName>
    <definedName name="PASS" hidden="1">{#N/A,#N/A,TRUE,"INGENIERIA";#N/A,#N/A,TRUE,"COMPRAS";#N/A,#N/A,TRUE,"DIRECCION";#N/A,#N/A,TRUE,"RESUMEN"}</definedName>
    <definedName name="PIA" localSheetId="4" hidden="1">#REF!</definedName>
    <definedName name="PIA" localSheetId="24" hidden="1">#REF!</definedName>
    <definedName name="PIA" localSheetId="20" hidden="1">#REF!</definedName>
    <definedName name="PIA" localSheetId="16" hidden="1">#REF!</definedName>
    <definedName name="PIA" localSheetId="21" hidden="1">#REF!</definedName>
    <definedName name="PIA" hidden="1">#REF!</definedName>
    <definedName name="PLUG" localSheetId="4" hidden="1">#REF!</definedName>
    <definedName name="PLUG" localSheetId="24" hidden="1">#REF!</definedName>
    <definedName name="PLUG" localSheetId="20" hidden="1">#REF!</definedName>
    <definedName name="PLUG" localSheetId="16" hidden="1">#REF!</definedName>
    <definedName name="PLUG" localSheetId="21" hidden="1">#REF!</definedName>
    <definedName name="PLUG" hidden="1">#REF!</definedName>
    <definedName name="PrintEnd" localSheetId="4" hidden="1">#REF!</definedName>
    <definedName name="PrintEnd" localSheetId="24" hidden="1">#REF!</definedName>
    <definedName name="PrintEnd" localSheetId="20" hidden="1">#REF!</definedName>
    <definedName name="PrintEnd" localSheetId="16" hidden="1">#REF!</definedName>
    <definedName name="PrintEnd" localSheetId="21" hidden="1">#REF!</definedName>
    <definedName name="PrintEnd" hidden="1">#REF!</definedName>
    <definedName name="PrintStart" localSheetId="4" hidden="1">#REF!</definedName>
    <definedName name="PrintStart" localSheetId="24" hidden="1">#REF!</definedName>
    <definedName name="PrintStart" localSheetId="20" hidden="1">#REF!</definedName>
    <definedName name="PrintStart" localSheetId="16" hidden="1">#REF!</definedName>
    <definedName name="PrintStart" localSheetId="21" hidden="1">#REF!</definedName>
    <definedName name="PrintStart" hidden="1">#REF!</definedName>
    <definedName name="PTTTT" localSheetId="4" hidden="1">{#N/A,#N/A,TRUE,"INGENIERIA";#N/A,#N/A,TRUE,"COMPRAS";#N/A,#N/A,TRUE,"DIRECCION";#N/A,#N/A,TRUE,"RESUMEN"}</definedName>
    <definedName name="PTTTT" localSheetId="24" hidden="1">{#N/A,#N/A,TRUE,"INGENIERIA";#N/A,#N/A,TRUE,"COMPRAS";#N/A,#N/A,TRUE,"DIRECCION";#N/A,#N/A,TRUE,"RESUMEN"}</definedName>
    <definedName name="PTTTT" localSheetId="20" hidden="1">{#N/A,#N/A,TRUE,"INGENIERIA";#N/A,#N/A,TRUE,"COMPRAS";#N/A,#N/A,TRUE,"DIRECCION";#N/A,#N/A,TRUE,"RESUMEN"}</definedName>
    <definedName name="PTTTT" localSheetId="16" hidden="1">{#N/A,#N/A,TRUE,"INGENIERIA";#N/A,#N/A,TRUE,"COMPRAS";#N/A,#N/A,TRUE,"DIRECCION";#N/A,#N/A,TRUE,"RESUMEN"}</definedName>
    <definedName name="PTTTT" localSheetId="22" hidden="1">{#N/A,#N/A,TRUE,"INGENIERIA";#N/A,#N/A,TRUE,"COMPRAS";#N/A,#N/A,TRUE,"DIRECCION";#N/A,#N/A,TRUE,"RESUMEN"}</definedName>
    <definedName name="PTTTT" localSheetId="18" hidden="1">{#N/A,#N/A,TRUE,"INGENIERIA";#N/A,#N/A,TRUE,"COMPRAS";#N/A,#N/A,TRUE,"DIRECCION";#N/A,#N/A,TRUE,"RESUMEN"}</definedName>
    <definedName name="PTTTT" localSheetId="21" hidden="1">{#N/A,#N/A,TRUE,"INGENIERIA";#N/A,#N/A,TRUE,"COMPRAS";#N/A,#N/A,TRUE,"DIRECCION";#N/A,#N/A,TRUE,"RESUMEN"}</definedName>
    <definedName name="PTTTT" hidden="1">{#N/A,#N/A,TRUE,"INGENIERIA";#N/A,#N/A,TRUE,"COMPRAS";#N/A,#N/A,TRUE,"DIRECCION";#N/A,#N/A,TRUE,"RESUMEN"}</definedName>
    <definedName name="QWE" localSheetId="4" hidden="1">#REF!</definedName>
    <definedName name="QWE" localSheetId="24" hidden="1">'[1]ETAPA 50 SMMLV'!#REF!</definedName>
    <definedName name="QWE" localSheetId="20" hidden="1">#REF!</definedName>
    <definedName name="QWE" localSheetId="16" hidden="1">#REF!</definedName>
    <definedName name="QWE" localSheetId="21" hidden="1">#REF!</definedName>
    <definedName name="QWE" hidden="1">#REF!</definedName>
    <definedName name="r.CashFlow" localSheetId="4" hidden="1">#REF!</definedName>
    <definedName name="r.CashFlow" localSheetId="24" hidden="1">#REF!</definedName>
    <definedName name="r.CashFlow" localSheetId="20" hidden="1">#REF!</definedName>
    <definedName name="r.CashFlow" localSheetId="16" hidden="1">#REF!</definedName>
    <definedName name="r.CashFlow" localSheetId="21" hidden="1">#REF!</definedName>
    <definedName name="r.CashFlow" hidden="1">#REF!</definedName>
    <definedName name="r.Leverage" localSheetId="4" hidden="1">#REF!</definedName>
    <definedName name="r.Leverage" localSheetId="24" hidden="1">#REF!</definedName>
    <definedName name="r.Leverage" localSheetId="20" hidden="1">#REF!</definedName>
    <definedName name="r.Leverage" localSheetId="16" hidden="1">#REF!</definedName>
    <definedName name="r.Leverage" localSheetId="21" hidden="1">#REF!</definedName>
    <definedName name="r.Leverage" hidden="1">#REF!</definedName>
    <definedName name="r.Liquidity" localSheetId="4" hidden="1">#REF!</definedName>
    <definedName name="r.Liquidity" localSheetId="24" hidden="1">#REF!</definedName>
    <definedName name="r.Liquidity" localSheetId="20" hidden="1">#REF!</definedName>
    <definedName name="r.Liquidity" localSheetId="16" hidden="1">#REF!</definedName>
    <definedName name="r.Liquidity" localSheetId="21" hidden="1">#REF!</definedName>
    <definedName name="r.Liquidity" hidden="1">#REF!</definedName>
    <definedName name="r.Market" localSheetId="4" hidden="1">#REF!</definedName>
    <definedName name="r.Market" localSheetId="24" hidden="1">#REF!</definedName>
    <definedName name="r.Market" localSheetId="20" hidden="1">#REF!</definedName>
    <definedName name="r.Market" localSheetId="16" hidden="1">#REF!</definedName>
    <definedName name="r.Market" localSheetId="21" hidden="1">#REF!</definedName>
    <definedName name="r.Market" hidden="1">#REF!</definedName>
    <definedName name="r.Profitability" localSheetId="4" hidden="1">#REF!</definedName>
    <definedName name="r.Profitability" localSheetId="24" hidden="1">#REF!</definedName>
    <definedName name="r.Profitability" localSheetId="20" hidden="1">#REF!</definedName>
    <definedName name="r.Profitability" localSheetId="16" hidden="1">#REF!</definedName>
    <definedName name="r.Profitability" localSheetId="21" hidden="1">#REF!</definedName>
    <definedName name="r.Profitability" hidden="1">#REF!</definedName>
    <definedName name="r.Summary" localSheetId="4" hidden="1">#REF!</definedName>
    <definedName name="r.Summary" localSheetId="24" hidden="1">#REF!</definedName>
    <definedName name="r.Summary" localSheetId="20" hidden="1">#REF!</definedName>
    <definedName name="r.Summary" localSheetId="16" hidden="1">#REF!</definedName>
    <definedName name="r.Summary" localSheetId="21" hidden="1">#REF!</definedName>
    <definedName name="r.Summary"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localSheetId="4" hidden="1">#REF!</definedName>
    <definedName name="Rows2Unhide" localSheetId="24" hidden="1">#REF!</definedName>
    <definedName name="Rows2Unhide" localSheetId="20" hidden="1">#REF!</definedName>
    <definedName name="Rows2Unhide" localSheetId="16" hidden="1">#REF!</definedName>
    <definedName name="Rows2Unhide" localSheetId="21" hidden="1">#REF!</definedName>
    <definedName name="Rows2Unhide" hidden="1">#REF!</definedName>
    <definedName name="sencount" hidden="1">1</definedName>
    <definedName name="SOSO" localSheetId="4" hidden="1">#REF!</definedName>
    <definedName name="SOSO" localSheetId="24" hidden="1">'[1]ETAPA 50 SMMLV'!#REF!</definedName>
    <definedName name="SOSO" localSheetId="20" hidden="1">#REF!</definedName>
    <definedName name="SOSO" localSheetId="16" hidden="1">#REF!</definedName>
    <definedName name="SOSO" localSheetId="21" hidden="1">#REF!</definedName>
    <definedName name="SOSO" hidden="1">#REF!</definedName>
    <definedName name="Stub" localSheetId="4" hidden="1">#REF!</definedName>
    <definedName name="Stub" localSheetId="24" hidden="1">#REF!</definedName>
    <definedName name="Stub" localSheetId="20" hidden="1">#REF!</definedName>
    <definedName name="Stub" localSheetId="16" hidden="1">#REF!</definedName>
    <definedName name="Stub" localSheetId="21" hidden="1">#REF!</definedName>
    <definedName name="Stub" hidden="1">#REF!</definedName>
    <definedName name="Stub_Header1" localSheetId="4" hidden="1">#REF!</definedName>
    <definedName name="Stub_Header1" localSheetId="24" hidden="1">#REF!</definedName>
    <definedName name="Stub_Header1" localSheetId="20" hidden="1">#REF!</definedName>
    <definedName name="Stub_Header1" localSheetId="16" hidden="1">#REF!</definedName>
    <definedName name="Stub_Header1" localSheetId="21" hidden="1">#REF!</definedName>
    <definedName name="Stub_Header1" hidden="1">#REF!</definedName>
    <definedName name="Stub_Header2" localSheetId="4" hidden="1">#REF!</definedName>
    <definedName name="Stub_Header2" localSheetId="24" hidden="1">#REF!</definedName>
    <definedName name="Stub_Header2" localSheetId="20" hidden="1">#REF!</definedName>
    <definedName name="Stub_Header2" localSheetId="16" hidden="1">#REF!</definedName>
    <definedName name="Stub_Header2" localSheetId="21" hidden="1">#REF!</definedName>
    <definedName name="Stub_Header2" hidden="1">#REF!</definedName>
    <definedName name="Stub_Header3" localSheetId="4" hidden="1">#REF!</definedName>
    <definedName name="Stub_Header3" localSheetId="24" hidden="1">#REF!</definedName>
    <definedName name="Stub_Header3" localSheetId="20" hidden="1">#REF!</definedName>
    <definedName name="Stub_Header3" localSheetId="16" hidden="1">#REF!</definedName>
    <definedName name="Stub_Header3" localSheetId="21" hidden="1">#REF!</definedName>
    <definedName name="Stub_Header3" hidden="1">#REF!</definedName>
    <definedName name="Supervía" localSheetId="4" hidden="1">{#N/A,#N/A,TRUE,"0001";#N/A,#N/A,TRUE,"0002";#N/A,#N/A,TRUE,"0003";#N/A,#N/A,TRUE,"0004";#N/A,#N/A,TRUE,"0005";#N/A,#N/A,TRUE,"0006";#N/A,#N/A,TRUE,"0007";#N/A,#N/A,TRUE,"0008";#N/A,#N/A,TRUE,"0009";#N/A,#N/A,TRUE,"0010"}</definedName>
    <definedName name="Supervía" localSheetId="24" hidden="1">{#N/A,#N/A,TRUE,"0001";#N/A,#N/A,TRUE,"0002";#N/A,#N/A,TRUE,"0003";#N/A,#N/A,TRUE,"0004";#N/A,#N/A,TRUE,"0005";#N/A,#N/A,TRUE,"0006";#N/A,#N/A,TRUE,"0007";#N/A,#N/A,TRUE,"0008";#N/A,#N/A,TRUE,"0009";#N/A,#N/A,TRUE,"0010"}</definedName>
    <definedName name="Supervía" localSheetId="20" hidden="1">{#N/A,#N/A,TRUE,"0001";#N/A,#N/A,TRUE,"0002";#N/A,#N/A,TRUE,"0003";#N/A,#N/A,TRUE,"0004";#N/A,#N/A,TRUE,"0005";#N/A,#N/A,TRUE,"0006";#N/A,#N/A,TRUE,"0007";#N/A,#N/A,TRUE,"0008";#N/A,#N/A,TRUE,"0009";#N/A,#N/A,TRUE,"0010"}</definedName>
    <definedName name="Supervía" localSheetId="16" hidden="1">{#N/A,#N/A,TRUE,"0001";#N/A,#N/A,TRUE,"0002";#N/A,#N/A,TRUE,"0003";#N/A,#N/A,TRUE,"0004";#N/A,#N/A,TRUE,"0005";#N/A,#N/A,TRUE,"0006";#N/A,#N/A,TRUE,"0007";#N/A,#N/A,TRUE,"0008";#N/A,#N/A,TRUE,"0009";#N/A,#N/A,TRUE,"0010"}</definedName>
    <definedName name="Supervía" localSheetId="22" hidden="1">{#N/A,#N/A,TRUE,"0001";#N/A,#N/A,TRUE,"0002";#N/A,#N/A,TRUE,"0003";#N/A,#N/A,TRUE,"0004";#N/A,#N/A,TRUE,"0005";#N/A,#N/A,TRUE,"0006";#N/A,#N/A,TRUE,"0007";#N/A,#N/A,TRUE,"0008";#N/A,#N/A,TRUE,"0009";#N/A,#N/A,TRUE,"0010"}</definedName>
    <definedName name="Supervía" localSheetId="18" hidden="1">{#N/A,#N/A,TRUE,"0001";#N/A,#N/A,TRUE,"0002";#N/A,#N/A,TRUE,"0003";#N/A,#N/A,TRUE,"0004";#N/A,#N/A,TRUE,"0005";#N/A,#N/A,TRUE,"0006";#N/A,#N/A,TRUE,"0007";#N/A,#N/A,TRUE,"0008";#N/A,#N/A,TRUE,"0009";#N/A,#N/A,TRUE,"0010"}</definedName>
    <definedName name="Supervía" localSheetId="21" hidden="1">{#N/A,#N/A,TRUE,"0001";#N/A,#N/A,TRUE,"0002";#N/A,#N/A,TRUE,"0003";#N/A,#N/A,TRUE,"0004";#N/A,#N/A,TRUE,"0005";#N/A,#N/A,TRUE,"0006";#N/A,#N/A,TRUE,"0007";#N/A,#N/A,TRUE,"0008";#N/A,#N/A,TRUE,"0009";#N/A,#N/A,TRUE,"0010"}</definedName>
    <definedName name="Supervía" hidden="1">{#N/A,#N/A,TRUE,"0001";#N/A,#N/A,TRUE,"0002";#N/A,#N/A,TRUE,"0003";#N/A,#N/A,TRUE,"0004";#N/A,#N/A,TRUE,"0005";#N/A,#N/A,TRUE,"0006";#N/A,#N/A,TRUE,"0007";#N/A,#N/A,TRUE,"0008";#N/A,#N/A,TRUE,"0009";#N/A,#N/A,TRUE,"0010"}</definedName>
    <definedName name="Supervía_1" localSheetId="4" hidden="1">{#N/A,#N/A,TRUE,"0001";#N/A,#N/A,TRUE,"0002";#N/A,#N/A,TRUE,"0003";#N/A,#N/A,TRUE,"0004";#N/A,#N/A,TRUE,"0005";#N/A,#N/A,TRUE,"0006";#N/A,#N/A,TRUE,"0007";#N/A,#N/A,TRUE,"0008";#N/A,#N/A,TRUE,"0009";#N/A,#N/A,TRUE,"0010"}</definedName>
    <definedName name="Supervía_1" localSheetId="24" hidden="1">{#N/A,#N/A,TRUE,"0001";#N/A,#N/A,TRUE,"0002";#N/A,#N/A,TRUE,"0003";#N/A,#N/A,TRUE,"0004";#N/A,#N/A,TRUE,"0005";#N/A,#N/A,TRUE,"0006";#N/A,#N/A,TRUE,"0007";#N/A,#N/A,TRUE,"0008";#N/A,#N/A,TRUE,"0009";#N/A,#N/A,TRUE,"0010"}</definedName>
    <definedName name="Supervía_1" localSheetId="20" hidden="1">{#N/A,#N/A,TRUE,"0001";#N/A,#N/A,TRUE,"0002";#N/A,#N/A,TRUE,"0003";#N/A,#N/A,TRUE,"0004";#N/A,#N/A,TRUE,"0005";#N/A,#N/A,TRUE,"0006";#N/A,#N/A,TRUE,"0007";#N/A,#N/A,TRUE,"0008";#N/A,#N/A,TRUE,"0009";#N/A,#N/A,TRUE,"0010"}</definedName>
    <definedName name="Supervía_1" localSheetId="16" hidden="1">{#N/A,#N/A,TRUE,"0001";#N/A,#N/A,TRUE,"0002";#N/A,#N/A,TRUE,"0003";#N/A,#N/A,TRUE,"0004";#N/A,#N/A,TRUE,"0005";#N/A,#N/A,TRUE,"0006";#N/A,#N/A,TRUE,"0007";#N/A,#N/A,TRUE,"0008";#N/A,#N/A,TRUE,"0009";#N/A,#N/A,TRUE,"0010"}</definedName>
    <definedName name="Supervía_1" localSheetId="22" hidden="1">{#N/A,#N/A,TRUE,"0001";#N/A,#N/A,TRUE,"0002";#N/A,#N/A,TRUE,"0003";#N/A,#N/A,TRUE,"0004";#N/A,#N/A,TRUE,"0005";#N/A,#N/A,TRUE,"0006";#N/A,#N/A,TRUE,"0007";#N/A,#N/A,TRUE,"0008";#N/A,#N/A,TRUE,"0009";#N/A,#N/A,TRUE,"0010"}</definedName>
    <definedName name="Supervía_1" localSheetId="18" hidden="1">{#N/A,#N/A,TRUE,"0001";#N/A,#N/A,TRUE,"0002";#N/A,#N/A,TRUE,"0003";#N/A,#N/A,TRUE,"0004";#N/A,#N/A,TRUE,"0005";#N/A,#N/A,TRUE,"0006";#N/A,#N/A,TRUE,"0007";#N/A,#N/A,TRUE,"0008";#N/A,#N/A,TRUE,"0009";#N/A,#N/A,TRUE,"0010"}</definedName>
    <definedName name="Supervía_1" localSheetId="21"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xpb" localSheetId="4" hidden="1">#REF!</definedName>
    <definedName name="Taxpb" localSheetId="24" hidden="1">#REF!</definedName>
    <definedName name="Taxpb" localSheetId="20" hidden="1">#REF!</definedName>
    <definedName name="Taxpb" localSheetId="16" hidden="1">#REF!</definedName>
    <definedName name="Taxpb" localSheetId="21" hidden="1">#REF!</definedName>
    <definedName name="Taxpb" hidden="1">#REF!</definedName>
    <definedName name="Titlepb" localSheetId="4" hidden="1">#REF!</definedName>
    <definedName name="Titlepb" localSheetId="24" hidden="1">#REF!</definedName>
    <definedName name="Titlepb" localSheetId="20" hidden="1">#REF!</definedName>
    <definedName name="Titlepb" localSheetId="16" hidden="1">#REF!</definedName>
    <definedName name="Titlepb" localSheetId="21" hidden="1">#REF!</definedName>
    <definedName name="Titlepb" hidden="1">#REF!</definedName>
    <definedName name="TRANSPORI" localSheetId="4" hidden="1">{#N/A,#N/A,TRUE,"INGENIERIA";#N/A,#N/A,TRUE,"COMPRAS";#N/A,#N/A,TRUE,"DIRECCION";#N/A,#N/A,TRUE,"RESUMEN"}</definedName>
    <definedName name="TRANSPORI" localSheetId="24" hidden="1">{#N/A,#N/A,TRUE,"INGENIERIA";#N/A,#N/A,TRUE,"COMPRAS";#N/A,#N/A,TRUE,"DIRECCION";#N/A,#N/A,TRUE,"RESUMEN"}</definedName>
    <definedName name="TRANSPORI" localSheetId="20" hidden="1">{#N/A,#N/A,TRUE,"INGENIERIA";#N/A,#N/A,TRUE,"COMPRAS";#N/A,#N/A,TRUE,"DIRECCION";#N/A,#N/A,TRUE,"RESUMEN"}</definedName>
    <definedName name="TRANSPORI" localSheetId="16" hidden="1">{#N/A,#N/A,TRUE,"INGENIERIA";#N/A,#N/A,TRUE,"COMPRAS";#N/A,#N/A,TRUE,"DIRECCION";#N/A,#N/A,TRUE,"RESUMEN"}</definedName>
    <definedName name="TRANSPORI" localSheetId="22" hidden="1">{#N/A,#N/A,TRUE,"INGENIERIA";#N/A,#N/A,TRUE,"COMPRAS";#N/A,#N/A,TRUE,"DIRECCION";#N/A,#N/A,TRUE,"RESUMEN"}</definedName>
    <definedName name="TRANSPORI" localSheetId="18" hidden="1">{#N/A,#N/A,TRUE,"INGENIERIA";#N/A,#N/A,TRUE,"COMPRAS";#N/A,#N/A,TRUE,"DIRECCION";#N/A,#N/A,TRUE,"RESUMEN"}</definedName>
    <definedName name="TRANSPORI" localSheetId="21" hidden="1">{#N/A,#N/A,TRUE,"INGENIERIA";#N/A,#N/A,TRUE,"COMPRAS";#N/A,#N/A,TRUE,"DIRECCION";#N/A,#N/A,TRUE,"RESUMEN"}</definedName>
    <definedName name="TRANSPORI" hidden="1">{#N/A,#N/A,TRUE,"INGENIERIA";#N/A,#N/A,TRUE,"COMPRAS";#N/A,#N/A,TRUE,"DIRECCION";#N/A,#N/A,TRUE,"RESUMEN"}</definedName>
    <definedName name="TRANSPORTE" localSheetId="4" hidden="1">{#N/A,#N/A,TRUE,"INGENIERIA";#N/A,#N/A,TRUE,"COMPRAS";#N/A,#N/A,TRUE,"DIRECCION";#N/A,#N/A,TRUE,"RESUMEN"}</definedName>
    <definedName name="TRANSPORTE" localSheetId="24" hidden="1">{#N/A,#N/A,TRUE,"INGENIERIA";#N/A,#N/A,TRUE,"COMPRAS";#N/A,#N/A,TRUE,"DIRECCION";#N/A,#N/A,TRUE,"RESUMEN"}</definedName>
    <definedName name="TRANSPORTE" localSheetId="16" hidden="1">{#N/A,#N/A,TRUE,"INGENIERIA";#N/A,#N/A,TRUE,"COMPRAS";#N/A,#N/A,TRUE,"DIRECCION";#N/A,#N/A,TRUE,"RESUMEN"}</definedName>
    <definedName name="TRANSPORTE" localSheetId="21" hidden="1">{#N/A,#N/A,TRUE,"INGENIERIA";#N/A,#N/A,TRUE,"COMPRAS";#N/A,#N/A,TRUE,"DIRECCION";#N/A,#N/A,TRUE,"RESUMEN"}</definedName>
    <definedName name="TRANSPORTE" hidden="1">{#N/A,#N/A,TRUE,"INGENIERIA";#N/A,#N/A,TRUE,"COMPRAS";#N/A,#N/A,TRUE,"DIRECCION";#N/A,#N/A,TRUE,"RESUMEN"}</definedName>
    <definedName name="Unit" localSheetId="4" hidden="1">#REF!</definedName>
    <definedName name="Unit" localSheetId="24" hidden="1">#REF!</definedName>
    <definedName name="Unit" localSheetId="20" hidden="1">#REF!</definedName>
    <definedName name="Unit" localSheetId="16" hidden="1">#REF!</definedName>
    <definedName name="Unit" localSheetId="21" hidden="1">#REF!</definedName>
    <definedName name="Unit" hidden="1">#REF!</definedName>
    <definedName name="usuv">[4]Resumen!$B$11</definedName>
    <definedName name="uuuu" localSheetId="4" hidden="1">#REF!</definedName>
    <definedName name="uuuu" localSheetId="24" hidden="1">#REF!</definedName>
    <definedName name="uuuu" localSheetId="20" hidden="1">#REF!</definedName>
    <definedName name="uuuu" localSheetId="16" hidden="1">#REF!</definedName>
    <definedName name="uuuu" localSheetId="21" hidden="1">#REF!</definedName>
    <definedName name="uuuu" hidden="1">#REF!</definedName>
    <definedName name="via" localSheetId="4" hidden="1">{"via1",#N/A,TRUE,"general";"via2",#N/A,TRUE,"general";"via3",#N/A,TRUE,"general"}</definedName>
    <definedName name="via" localSheetId="24" hidden="1">{"via1",#N/A,TRUE,"general";"via2",#N/A,TRUE,"general";"via3",#N/A,TRUE,"general"}</definedName>
    <definedName name="via" localSheetId="20" hidden="1">{"via1",#N/A,TRUE,"general";"via2",#N/A,TRUE,"general";"via3",#N/A,TRUE,"general"}</definedName>
    <definedName name="via" localSheetId="16" hidden="1">{"via1",#N/A,TRUE,"general";"via2",#N/A,TRUE,"general";"via3",#N/A,TRUE,"general"}</definedName>
    <definedName name="via" localSheetId="22" hidden="1">{"via1",#N/A,TRUE,"general";"via2",#N/A,TRUE,"general";"via3",#N/A,TRUE,"general"}</definedName>
    <definedName name="via" localSheetId="18" hidden="1">{"via1",#N/A,TRUE,"general";"via2",#N/A,TRUE,"general";"via3",#N/A,TRUE,"general"}</definedName>
    <definedName name="via" localSheetId="21" hidden="1">{"via1",#N/A,TRUE,"general";"via2",#N/A,TRUE,"general";"via3",#N/A,TRUE,"general"}</definedName>
    <definedName name="via" hidden="1">{"via1",#N/A,TRUE,"general";"via2",#N/A,TRUE,"general";"via3",#N/A,TRUE,"general"}</definedName>
    <definedName name="via_1" localSheetId="4" hidden="1">{"via1",#N/A,TRUE,"general";"via2",#N/A,TRUE,"general";"via3",#N/A,TRUE,"general"}</definedName>
    <definedName name="via_1" localSheetId="24" hidden="1">{"via1",#N/A,TRUE,"general";"via2",#N/A,TRUE,"general";"via3",#N/A,TRUE,"general"}</definedName>
    <definedName name="via_1" localSheetId="20" hidden="1">{"via1",#N/A,TRUE,"general";"via2",#N/A,TRUE,"general";"via3",#N/A,TRUE,"general"}</definedName>
    <definedName name="via_1" localSheetId="16" hidden="1">{"via1",#N/A,TRUE,"general";"via2",#N/A,TRUE,"general";"via3",#N/A,TRUE,"general"}</definedName>
    <definedName name="via_1" localSheetId="22" hidden="1">{"via1",#N/A,TRUE,"general";"via2",#N/A,TRUE,"general";"via3",#N/A,TRUE,"general"}</definedName>
    <definedName name="via_1" localSheetId="18" hidden="1">{"via1",#N/A,TRUE,"general";"via2",#N/A,TRUE,"general";"via3",#N/A,TRUE,"general"}</definedName>
    <definedName name="via_1" localSheetId="21" hidden="1">{"via1",#N/A,TRUE,"general";"via2",#N/A,TRUE,"general";"via3",#N/A,TRUE,"general"}</definedName>
    <definedName name="via_1" hidden="1">{"via1",#N/A,TRUE,"general";"via2",#N/A,TRUE,"general";"via3",#N/A,TRUE,"general"}</definedName>
    <definedName name="w" localSheetId="4" hidden="1">#REF!</definedName>
    <definedName name="w" localSheetId="24" hidden="1">#REF!</definedName>
    <definedName name="w" localSheetId="20" hidden="1">#REF!</definedName>
    <definedName name="w" localSheetId="16" hidden="1">#REF!</definedName>
    <definedName name="w" localSheetId="21" hidden="1">#REF!</definedName>
    <definedName name="w" hidden="1">#REF!</definedName>
    <definedName name="wqw" localSheetId="4" hidden="1">#REF!</definedName>
    <definedName name="wqw" localSheetId="24" hidden="1">#REF!</definedName>
    <definedName name="wqw" localSheetId="20" hidden="1">#REF!</definedName>
    <definedName name="wqw" localSheetId="16" hidden="1">#REF!</definedName>
    <definedName name="wqw" localSheetId="21" hidden="1">#REF!</definedName>
    <definedName name="wqw" hidden="1">#REF!</definedName>
    <definedName name="wrn.ar." localSheetId="4" hidden="1">{#N/A,#N/A,TRUE,"CODIGO DEPENDENCIA"}</definedName>
    <definedName name="wrn.ar." localSheetId="24" hidden="1">{#N/A,#N/A,TRUE,"CODIGO DEPENDENCIA"}</definedName>
    <definedName name="wrn.ar." localSheetId="20" hidden="1">{#N/A,#N/A,TRUE,"CODIGO DEPENDENCIA"}</definedName>
    <definedName name="wrn.ar." localSheetId="16" hidden="1">{#N/A,#N/A,TRUE,"CODIGO DEPENDENCIA"}</definedName>
    <definedName name="wrn.ar." localSheetId="22" hidden="1">{#N/A,#N/A,TRUE,"CODIGO DEPENDENCIA"}</definedName>
    <definedName name="wrn.ar." localSheetId="18" hidden="1">{#N/A,#N/A,TRUE,"CODIGO DEPENDENCIA"}</definedName>
    <definedName name="wrn.ar." localSheetId="21" hidden="1">{#N/A,#N/A,TRUE,"CODIGO DEPENDENCIA"}</definedName>
    <definedName name="wrn.ar." hidden="1">{#N/A,#N/A,TRUE,"CODIGO DEPENDENCIA"}</definedName>
    <definedName name="wrn.Financial._.Statements."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0"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1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1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localSheetId="2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4"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0"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16"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2"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18"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localSheetId="2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0"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1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1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localSheetId="2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4"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0"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16"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2"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18"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localSheetId="2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localSheetId="4" hidden="1">{"TAB1",#N/A,TRUE,"GENERAL";"TAB2",#N/A,TRUE,"GENERAL";"TAB3",#N/A,TRUE,"GENERAL";"TAB4",#N/A,TRUE,"GENERAL";"TAB5",#N/A,TRUE,"GENERAL"}</definedName>
    <definedName name="wrn.GENERAL." localSheetId="24" hidden="1">{"TAB1",#N/A,TRUE,"GENERAL";"TAB2",#N/A,TRUE,"GENERAL";"TAB3",#N/A,TRUE,"GENERAL";"TAB4",#N/A,TRUE,"GENERAL";"TAB5",#N/A,TRUE,"GENERAL"}</definedName>
    <definedName name="wrn.GENERAL." localSheetId="20" hidden="1">{"TAB1",#N/A,TRUE,"GENERAL";"TAB2",#N/A,TRUE,"GENERAL";"TAB3",#N/A,TRUE,"GENERAL";"TAB4",#N/A,TRUE,"GENERAL";"TAB5",#N/A,TRUE,"GENERAL"}</definedName>
    <definedName name="wrn.GENERAL." localSheetId="16" hidden="1">{"TAB1",#N/A,TRUE,"GENERAL";"TAB2",#N/A,TRUE,"GENERAL";"TAB3",#N/A,TRUE,"GENERAL";"TAB4",#N/A,TRUE,"GENERAL";"TAB5",#N/A,TRUE,"GENERAL"}</definedName>
    <definedName name="wrn.GENERAL." localSheetId="22" hidden="1">{"TAB1",#N/A,TRUE,"GENERAL";"TAB2",#N/A,TRUE,"GENERAL";"TAB3",#N/A,TRUE,"GENERAL";"TAB4",#N/A,TRUE,"GENERAL";"TAB5",#N/A,TRUE,"GENERAL"}</definedName>
    <definedName name="wrn.GENERAL." localSheetId="18" hidden="1">{"TAB1",#N/A,TRUE,"GENERAL";"TAB2",#N/A,TRUE,"GENERAL";"TAB3",#N/A,TRUE,"GENERAL";"TAB4",#N/A,TRUE,"GENERAL";"TAB5",#N/A,TRUE,"GENERAL"}</definedName>
    <definedName name="wrn.GENERAL." localSheetId="21" hidden="1">{"TAB1",#N/A,TRUE,"GENERAL";"TAB2",#N/A,TRUE,"GENERAL";"TAB3",#N/A,TRUE,"GENERAL";"TAB4",#N/A,TRUE,"GENERAL";"TAB5",#N/A,TRUE,"GENERAL"}</definedName>
    <definedName name="wrn.GENERAL." hidden="1">{"TAB1",#N/A,TRUE,"GENERAL";"TAB2",#N/A,TRUE,"GENERAL";"TAB3",#N/A,TRUE,"GENERAL";"TAB4",#N/A,TRUE,"GENERAL";"TAB5",#N/A,TRUE,"GENERAL"}</definedName>
    <definedName name="wrn.GENERAL._1" localSheetId="4" hidden="1">{"TAB1",#N/A,TRUE,"GENERAL";"TAB2",#N/A,TRUE,"GENERAL";"TAB3",#N/A,TRUE,"GENERAL";"TAB4",#N/A,TRUE,"GENERAL";"TAB5",#N/A,TRUE,"GENERAL"}</definedName>
    <definedName name="wrn.GENERAL._1" localSheetId="24" hidden="1">{"TAB1",#N/A,TRUE,"GENERAL";"TAB2",#N/A,TRUE,"GENERAL";"TAB3",#N/A,TRUE,"GENERAL";"TAB4",#N/A,TRUE,"GENERAL";"TAB5",#N/A,TRUE,"GENERAL"}</definedName>
    <definedName name="wrn.GENERAL._1" localSheetId="20" hidden="1">{"TAB1",#N/A,TRUE,"GENERAL";"TAB2",#N/A,TRUE,"GENERAL";"TAB3",#N/A,TRUE,"GENERAL";"TAB4",#N/A,TRUE,"GENERAL";"TAB5",#N/A,TRUE,"GENERAL"}</definedName>
    <definedName name="wrn.GENERAL._1" localSheetId="16" hidden="1">{"TAB1",#N/A,TRUE,"GENERAL";"TAB2",#N/A,TRUE,"GENERAL";"TAB3",#N/A,TRUE,"GENERAL";"TAB4",#N/A,TRUE,"GENERAL";"TAB5",#N/A,TRUE,"GENERAL"}</definedName>
    <definedName name="wrn.GENERAL._1" localSheetId="22" hidden="1">{"TAB1",#N/A,TRUE,"GENERAL";"TAB2",#N/A,TRUE,"GENERAL";"TAB3",#N/A,TRUE,"GENERAL";"TAB4",#N/A,TRUE,"GENERAL";"TAB5",#N/A,TRUE,"GENERAL"}</definedName>
    <definedName name="wrn.GENERAL._1" localSheetId="18" hidden="1">{"TAB1",#N/A,TRUE,"GENERAL";"TAB2",#N/A,TRUE,"GENERAL";"TAB3",#N/A,TRUE,"GENERAL";"TAB4",#N/A,TRUE,"GENERAL";"TAB5",#N/A,TRUE,"GENERAL"}</definedName>
    <definedName name="wrn.GENERAL._1" localSheetId="21" hidden="1">{"TAB1",#N/A,TRUE,"GENERAL";"TAB2",#N/A,TRUE,"GENERAL";"TAB3",#N/A,TRUE,"GENERAL";"TAB4",#N/A,TRUE,"GENERAL";"TAB5",#N/A,TRUE,"GENERAL"}</definedName>
    <definedName name="wrn.GENERAL._1" hidden="1">{"TAB1",#N/A,TRUE,"GENERAL";"TAB2",#N/A,TRUE,"GENERAL";"TAB3",#N/A,TRUE,"GENERAL";"TAB4",#N/A,TRUE,"GENERAL";"TAB5",#N/A,TRUE,"GENERAL"}</definedName>
    <definedName name="wrn.GERENCIA." localSheetId="4" hidden="1">{#N/A,#N/A,TRUE,"INGENIERIA";#N/A,#N/A,TRUE,"COMPRAS";#N/A,#N/A,TRUE,"DIRECCION";#N/A,#N/A,TRUE,"RESUMEN"}</definedName>
    <definedName name="wrn.GERENCIA." localSheetId="24" hidden="1">{#N/A,#N/A,TRUE,"INGENIERIA";#N/A,#N/A,TRUE,"COMPRAS";#N/A,#N/A,TRUE,"DIRECCION";#N/A,#N/A,TRUE,"RESUMEN"}</definedName>
    <definedName name="wrn.GERENCIA." localSheetId="20" hidden="1">{#N/A,#N/A,TRUE,"INGENIERIA";#N/A,#N/A,TRUE,"COMPRAS";#N/A,#N/A,TRUE,"DIRECCION";#N/A,#N/A,TRUE,"RESUMEN"}</definedName>
    <definedName name="wrn.GERENCIA." localSheetId="16" hidden="1">{#N/A,#N/A,TRUE,"INGENIERIA";#N/A,#N/A,TRUE,"COMPRAS";#N/A,#N/A,TRUE,"DIRECCION";#N/A,#N/A,TRUE,"RESUMEN"}</definedName>
    <definedName name="wrn.GERENCIA." localSheetId="22" hidden="1">{#N/A,#N/A,TRUE,"INGENIERIA";#N/A,#N/A,TRUE,"COMPRAS";#N/A,#N/A,TRUE,"DIRECCION";#N/A,#N/A,TRUE,"RESUMEN"}</definedName>
    <definedName name="wrn.GERENCIA." localSheetId="18" hidden="1">{#N/A,#N/A,TRUE,"INGENIERIA";#N/A,#N/A,TRUE,"COMPRAS";#N/A,#N/A,TRUE,"DIRECCION";#N/A,#N/A,TRUE,"RESUMEN"}</definedName>
    <definedName name="wrn.GERENCIA." localSheetId="21" hidden="1">{#N/A,#N/A,TRUE,"INGENIERIA";#N/A,#N/A,TRUE,"COMPRAS";#N/A,#N/A,TRUE,"DIRECCION";#N/A,#N/A,TRUE,"RESUMEN"}</definedName>
    <definedName name="wrn.GERENCIA." hidden="1">{#N/A,#N/A,TRUE,"INGENIERIA";#N/A,#N/A,TRUE,"COMPRAS";#N/A,#N/A,TRUE,"DIRECCION";#N/A,#N/A,TRUE,"RESUMEN"}</definedName>
    <definedName name="wrn.Restructuring._.Summaries." localSheetId="4" hidden="1">{#N/A,#N/A,TRUE,"Transaction Summary";#N/A,#N/A,TRUE,"Restructuring Sensitivities";#N/A,#N/A,TRUE,"DCF";#N/A,#N/A,TRUE,"IRR";#N/A,#N/A,TRUE,"Debt Capacity"}</definedName>
    <definedName name="wrn.Restructuring._.Summaries." localSheetId="24" hidden="1">{#N/A,#N/A,TRUE,"Transaction Summary";#N/A,#N/A,TRUE,"Restructuring Sensitivities";#N/A,#N/A,TRUE,"DCF";#N/A,#N/A,TRUE,"IRR";#N/A,#N/A,TRUE,"Debt Capacity"}</definedName>
    <definedName name="wrn.Restructuring._.Summaries." localSheetId="20" hidden="1">{#N/A,#N/A,TRUE,"Transaction Summary";#N/A,#N/A,TRUE,"Restructuring Sensitivities";#N/A,#N/A,TRUE,"DCF";#N/A,#N/A,TRUE,"IRR";#N/A,#N/A,TRUE,"Debt Capacity"}</definedName>
    <definedName name="wrn.Restructuring._.Summaries." localSheetId="16" hidden="1">{#N/A,#N/A,TRUE,"Transaction Summary";#N/A,#N/A,TRUE,"Restructuring Sensitivities";#N/A,#N/A,TRUE,"DCF";#N/A,#N/A,TRUE,"IRR";#N/A,#N/A,TRUE,"Debt Capacity"}</definedName>
    <definedName name="wrn.Restructuring._.Summaries." localSheetId="22" hidden="1">{#N/A,#N/A,TRUE,"Transaction Summary";#N/A,#N/A,TRUE,"Restructuring Sensitivities";#N/A,#N/A,TRUE,"DCF";#N/A,#N/A,TRUE,"IRR";#N/A,#N/A,TRUE,"Debt Capacity"}</definedName>
    <definedName name="wrn.Restructuring._.Summaries." localSheetId="18" hidden="1">{#N/A,#N/A,TRUE,"Transaction Summary";#N/A,#N/A,TRUE,"Restructuring Sensitivities";#N/A,#N/A,TRUE,"DCF";#N/A,#N/A,TRUE,"IRR";#N/A,#N/A,TRUE,"Debt Capacity"}</definedName>
    <definedName name="wrn.Restructuring._.Summaries." localSheetId="21" hidden="1">{#N/A,#N/A,TRUE,"Transaction Summary";#N/A,#N/A,TRUE,"Restructuring Sensitivities";#N/A,#N/A,TRUE,"DCF";#N/A,#N/A,TRUE,"IRR";#N/A,#N/A,TRUE,"Debt Capacity"}</definedName>
    <definedName name="wrn.Restructuring._.Summaries." hidden="1">{#N/A,#N/A,TRUE,"Transaction Summary";#N/A,#N/A,TRUE,"Restructuring Sensitivities";#N/A,#N/A,TRUE,"DCF";#N/A,#N/A,TRUE,"IRR";#N/A,#N/A,TRUE,"Debt Capacity"}</definedName>
    <definedName name="wrn.Restructuring._.Summaries._1" localSheetId="4" hidden="1">{#N/A,#N/A,TRUE,"Transaction Summary";#N/A,#N/A,TRUE,"Restructuring Sensitivities";#N/A,#N/A,TRUE,"DCF";#N/A,#N/A,TRUE,"IRR";#N/A,#N/A,TRUE,"Debt Capacity"}</definedName>
    <definedName name="wrn.Restructuring._.Summaries._1" localSheetId="24" hidden="1">{#N/A,#N/A,TRUE,"Transaction Summary";#N/A,#N/A,TRUE,"Restructuring Sensitivities";#N/A,#N/A,TRUE,"DCF";#N/A,#N/A,TRUE,"IRR";#N/A,#N/A,TRUE,"Debt Capacity"}</definedName>
    <definedName name="wrn.Restructuring._.Summaries._1" localSheetId="20" hidden="1">{#N/A,#N/A,TRUE,"Transaction Summary";#N/A,#N/A,TRUE,"Restructuring Sensitivities";#N/A,#N/A,TRUE,"DCF";#N/A,#N/A,TRUE,"IRR";#N/A,#N/A,TRUE,"Debt Capacity"}</definedName>
    <definedName name="wrn.Restructuring._.Summaries._1" localSheetId="16" hidden="1">{#N/A,#N/A,TRUE,"Transaction Summary";#N/A,#N/A,TRUE,"Restructuring Sensitivities";#N/A,#N/A,TRUE,"DCF";#N/A,#N/A,TRUE,"IRR";#N/A,#N/A,TRUE,"Debt Capacity"}</definedName>
    <definedName name="wrn.Restructuring._.Summaries._1" localSheetId="22" hidden="1">{#N/A,#N/A,TRUE,"Transaction Summary";#N/A,#N/A,TRUE,"Restructuring Sensitivities";#N/A,#N/A,TRUE,"DCF";#N/A,#N/A,TRUE,"IRR";#N/A,#N/A,TRUE,"Debt Capacity"}</definedName>
    <definedName name="wrn.Restructuring._.Summaries._1" localSheetId="18" hidden="1">{#N/A,#N/A,TRUE,"Transaction Summary";#N/A,#N/A,TRUE,"Restructuring Sensitivities";#N/A,#N/A,TRUE,"DCF";#N/A,#N/A,TRUE,"IRR";#N/A,#N/A,TRUE,"Debt Capacity"}</definedName>
    <definedName name="wrn.Restructuring._.Summaries._1" localSheetId="21"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localSheetId="4" hidden="1">{"total",#N/A,FALSE,"TD 0% ";"total",#N/A,FALSE,"TD 12%";"total",#N/A,FALSE,"TD 10%"}</definedName>
    <definedName name="wrn.resumen." localSheetId="24" hidden="1">{"total",#N/A,FALSE,"TD 0% ";"total",#N/A,FALSE,"TD 12%";"total",#N/A,FALSE,"TD 10%"}</definedName>
    <definedName name="wrn.resumen." localSheetId="20" hidden="1">{"total",#N/A,FALSE,"TD 0% ";"total",#N/A,FALSE,"TD 12%";"total",#N/A,FALSE,"TD 10%"}</definedName>
    <definedName name="wrn.resumen." localSheetId="16" hidden="1">{"total",#N/A,FALSE,"TD 0% ";"total",#N/A,FALSE,"TD 12%";"total",#N/A,FALSE,"TD 10%"}</definedName>
    <definedName name="wrn.resumen." localSheetId="22" hidden="1">{"total",#N/A,FALSE,"TD 0% ";"total",#N/A,FALSE,"TD 12%";"total",#N/A,FALSE,"TD 10%"}</definedName>
    <definedName name="wrn.resumen." localSheetId="18" hidden="1">{"total",#N/A,FALSE,"TD 0% ";"total",#N/A,FALSE,"TD 12%";"total",#N/A,FALSE,"TD 10%"}</definedName>
    <definedName name="wrn.resumen." localSheetId="21" hidden="1">{"total",#N/A,FALSE,"TD 0% ";"total",#N/A,FALSE,"TD 12%";"total",#N/A,FALSE,"TD 10%"}</definedName>
    <definedName name="wrn.resumen." hidden="1">{"total",#N/A,FALSE,"TD 0% ";"total",#N/A,FALSE,"TD 12%";"total",#N/A,FALSE,"TD 10%"}</definedName>
    <definedName name="wrn.via." localSheetId="4" hidden="1">{"via1",#N/A,TRUE,"general";"via2",#N/A,TRUE,"general";"via3",#N/A,TRUE,"general"}</definedName>
    <definedName name="wrn.via." localSheetId="24" hidden="1">{"via1",#N/A,TRUE,"general";"via2",#N/A,TRUE,"general";"via3",#N/A,TRUE,"general"}</definedName>
    <definedName name="wrn.via." localSheetId="20" hidden="1">{"via1",#N/A,TRUE,"general";"via2",#N/A,TRUE,"general";"via3",#N/A,TRUE,"general"}</definedName>
    <definedName name="wrn.via." localSheetId="16" hidden="1">{"via1",#N/A,TRUE,"general";"via2",#N/A,TRUE,"general";"via3",#N/A,TRUE,"general"}</definedName>
    <definedName name="wrn.via." localSheetId="22" hidden="1">{"via1",#N/A,TRUE,"general";"via2",#N/A,TRUE,"general";"via3",#N/A,TRUE,"general"}</definedName>
    <definedName name="wrn.via." localSheetId="18" hidden="1">{"via1",#N/A,TRUE,"general";"via2",#N/A,TRUE,"general";"via3",#N/A,TRUE,"general"}</definedName>
    <definedName name="wrn.via." localSheetId="21" hidden="1">{"via1",#N/A,TRUE,"general";"via2",#N/A,TRUE,"general";"via3",#N/A,TRUE,"general"}</definedName>
    <definedName name="wrn.via." hidden="1">{"via1",#N/A,TRUE,"general";"via2",#N/A,TRUE,"general";"via3",#N/A,TRUE,"general"}</definedName>
    <definedName name="wrn.via._1" localSheetId="4" hidden="1">{"via1",#N/A,TRUE,"general";"via2",#N/A,TRUE,"general";"via3",#N/A,TRUE,"general"}</definedName>
    <definedName name="wrn.via._1" localSheetId="24" hidden="1">{"via1",#N/A,TRUE,"general";"via2",#N/A,TRUE,"general";"via3",#N/A,TRUE,"general"}</definedName>
    <definedName name="wrn.via._1" localSheetId="20" hidden="1">{"via1",#N/A,TRUE,"general";"via2",#N/A,TRUE,"general";"via3",#N/A,TRUE,"general"}</definedName>
    <definedName name="wrn.via._1" localSheetId="16" hidden="1">{"via1",#N/A,TRUE,"general";"via2",#N/A,TRUE,"general";"via3",#N/A,TRUE,"general"}</definedName>
    <definedName name="wrn.via._1" localSheetId="22" hidden="1">{"via1",#N/A,TRUE,"general";"via2",#N/A,TRUE,"general";"via3",#N/A,TRUE,"general"}</definedName>
    <definedName name="wrn.via._1" localSheetId="18" hidden="1">{"via1",#N/A,TRUE,"general";"via2",#N/A,TRUE,"general";"via3",#N/A,TRUE,"general"}</definedName>
    <definedName name="wrn.via._1" localSheetId="21" hidden="1">{"via1",#N/A,TRUE,"general";"via2",#N/A,TRUE,"general";"via3",#N/A,TRUE,"general"}</definedName>
    <definedName name="wrn.via._1" hidden="1">{"via1",#N/A,TRUE,"general";"via2",#N/A,TRUE,"general";"via3",#N/A,TRUE,"general"}</definedName>
    <definedName name="XXXXX"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1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localSheetId="2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localSheetId="4" hidden="1">{#N/A,#N/A,TRUE,"INGENIERIA";#N/A,#N/A,TRUE,"COMPRAS";#N/A,#N/A,TRUE,"DIRECCION";#N/A,#N/A,TRUE,"RESUMEN"}</definedName>
    <definedName name="XXXXXX" localSheetId="24" hidden="1">{#N/A,#N/A,TRUE,"INGENIERIA";#N/A,#N/A,TRUE,"COMPRAS";#N/A,#N/A,TRUE,"DIRECCION";#N/A,#N/A,TRUE,"RESUMEN"}</definedName>
    <definedName name="XXXXXX" localSheetId="20" hidden="1">{#N/A,#N/A,TRUE,"INGENIERIA";#N/A,#N/A,TRUE,"COMPRAS";#N/A,#N/A,TRUE,"DIRECCION";#N/A,#N/A,TRUE,"RESUMEN"}</definedName>
    <definedName name="XXXXXX" localSheetId="16" hidden="1">{#N/A,#N/A,TRUE,"INGENIERIA";#N/A,#N/A,TRUE,"COMPRAS";#N/A,#N/A,TRUE,"DIRECCION";#N/A,#N/A,TRUE,"RESUMEN"}</definedName>
    <definedName name="XXXXXX" localSheetId="22" hidden="1">{#N/A,#N/A,TRUE,"INGENIERIA";#N/A,#N/A,TRUE,"COMPRAS";#N/A,#N/A,TRUE,"DIRECCION";#N/A,#N/A,TRUE,"RESUMEN"}</definedName>
    <definedName name="XXXXXX" localSheetId="18" hidden="1">{#N/A,#N/A,TRUE,"INGENIERIA";#N/A,#N/A,TRUE,"COMPRAS";#N/A,#N/A,TRUE,"DIRECCION";#N/A,#N/A,TRUE,"RESUMEN"}</definedName>
    <definedName name="XXXXXX" localSheetId="21" hidden="1">{#N/A,#N/A,TRUE,"INGENIERIA";#N/A,#N/A,TRUE,"COMPRAS";#N/A,#N/A,TRUE,"DIRECCION";#N/A,#N/A,TRUE,"RESUMEN"}</definedName>
    <definedName name="XXXXXX" hidden="1">{#N/A,#N/A,TRUE,"INGENIERIA";#N/A,#N/A,TRUE,"COMPRAS";#N/A,#N/A,TRUE,"DIRECCION";#N/A,#N/A,TRUE,"RESUMEN"}</definedName>
    <definedName name="xyz" localSheetId="4" hidden="1">#REF!</definedName>
    <definedName name="xyz" localSheetId="24" hidden="1">#REF!</definedName>
    <definedName name="xyz" localSheetId="20" hidden="1">#REF!</definedName>
    <definedName name="xyz" localSheetId="16" hidden="1">#REF!</definedName>
    <definedName name="xyz" localSheetId="21" hidden="1">#REF!</definedName>
    <definedName name="xyz" hidden="1">#REF!</definedName>
    <definedName name="yyyyyy" localSheetId="4" hidden="1">#REF!</definedName>
    <definedName name="yyyyyy" localSheetId="24" hidden="1">[2]MI!#REF!</definedName>
    <definedName name="yyyyyy" localSheetId="20" hidden="1">#REF!</definedName>
    <definedName name="yyyyyy" localSheetId="16" hidden="1">#REF!</definedName>
    <definedName name="yyyyyy" localSheetId="21" hidden="1">#REF!</definedName>
    <definedName name="yyyyyy"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5" i="55" l="1"/>
  <c r="F64" i="55"/>
  <c r="F63" i="55"/>
  <c r="F62" i="55"/>
  <c r="F60" i="55"/>
  <c r="F59" i="55"/>
  <c r="F58" i="55"/>
  <c r="F57" i="55"/>
  <c r="F56" i="55"/>
  <c r="F55" i="55"/>
  <c r="F54" i="55"/>
  <c r="F53" i="55"/>
  <c r="F50" i="55"/>
  <c r="F49" i="55"/>
  <c r="F48" i="55"/>
  <c r="F47" i="55"/>
  <c r="F45" i="55"/>
  <c r="F44" i="55"/>
  <c r="F42" i="55"/>
  <c r="F41" i="55"/>
  <c r="F40" i="55"/>
  <c r="F38" i="55"/>
  <c r="F37" i="55"/>
  <c r="G35" i="55" s="1"/>
  <c r="F34" i="55"/>
  <c r="F33" i="55"/>
  <c r="F32" i="55"/>
  <c r="F31" i="55"/>
  <c r="F29" i="55"/>
  <c r="F28" i="55"/>
  <c r="F27" i="55"/>
  <c r="F26" i="55"/>
  <c r="F25" i="55"/>
  <c r="F23" i="55"/>
  <c r="F22" i="55"/>
  <c r="D21" i="55"/>
  <c r="F21" i="55" s="1"/>
  <c r="G20" i="55" s="1"/>
  <c r="F19" i="55"/>
  <c r="F18" i="55"/>
  <c r="G17" i="55" s="1"/>
  <c r="F16" i="55"/>
  <c r="F15" i="55"/>
  <c r="F14" i="55"/>
  <c r="F13" i="55"/>
  <c r="F12" i="55"/>
  <c r="F10" i="55"/>
  <c r="F9" i="55"/>
  <c r="F8" i="55"/>
  <c r="F7" i="55"/>
  <c r="G7" i="55" s="1"/>
  <c r="G46" i="55" l="1"/>
  <c r="G30" i="55"/>
  <c r="G24" i="55"/>
  <c r="G51" i="55"/>
  <c r="G11" i="55"/>
  <c r="D17" i="39" l="1"/>
  <c r="D16" i="39"/>
  <c r="E16" i="39" s="1"/>
  <c r="E17" i="39"/>
  <c r="C17" i="39"/>
  <c r="B17" i="39"/>
  <c r="C16" i="39"/>
  <c r="B16" i="39"/>
  <c r="E15" i="39"/>
  <c r="C15" i="39"/>
  <c r="B15" i="39"/>
  <c r="E14" i="39"/>
  <c r="C14" i="39"/>
  <c r="B14" i="39"/>
  <c r="F40" i="19"/>
  <c r="B13" i="7"/>
  <c r="C13" i="7"/>
  <c r="D13" i="7"/>
  <c r="E13" i="7" s="1"/>
  <c r="B24" i="17"/>
  <c r="C24" i="17"/>
  <c r="E24" i="17"/>
  <c r="D21" i="17"/>
  <c r="D22" i="17"/>
  <c r="D23" i="17"/>
  <c r="B9" i="14"/>
  <c r="C9" i="14"/>
  <c r="E9" i="14"/>
  <c r="B10" i="14"/>
  <c r="C10" i="14"/>
  <c r="F33" i="41" l="1"/>
  <c r="G66" i="55"/>
  <c r="E11" i="32"/>
  <c r="E12" i="32"/>
  <c r="E13" i="32"/>
  <c r="E14" i="32"/>
  <c r="E15" i="32"/>
  <c r="E16" i="32"/>
  <c r="E17" i="32"/>
  <c r="E18" i="32"/>
  <c r="E19" i="32"/>
  <c r="E20" i="32"/>
  <c r="E21" i="32"/>
  <c r="E39" i="35"/>
  <c r="F37" i="35"/>
  <c r="C15" i="21" l="1"/>
  <c r="B15" i="21"/>
  <c r="E9" i="16"/>
  <c r="E10" i="16"/>
  <c r="C9" i="16"/>
  <c r="C10" i="16"/>
  <c r="B10" i="16"/>
  <c r="B9" i="16"/>
  <c r="E10" i="15"/>
  <c r="C10" i="15"/>
  <c r="B10" i="15"/>
  <c r="D15" i="21" l="1"/>
  <c r="E15" i="21" s="1"/>
  <c r="E23" i="17"/>
  <c r="C23" i="17"/>
  <c r="B23" i="17"/>
  <c r="B12" i="7"/>
  <c r="C12" i="7"/>
  <c r="G67" i="55" l="1"/>
  <c r="P27" i="5"/>
  <c r="C71" i="3"/>
  <c r="C47" i="41" l="1"/>
  <c r="F47" i="41" s="1"/>
  <c r="B46" i="43" l="1"/>
  <c r="B48" i="43"/>
  <c r="L63" i="43"/>
  <c r="L62" i="43"/>
  <c r="L61" i="43"/>
  <c r="L57" i="43"/>
  <c r="P57" i="43"/>
  <c r="L56" i="43"/>
  <c r="L54" i="43"/>
  <c r="L53" i="43"/>
  <c r="L51" i="43"/>
  <c r="L50" i="43"/>
  <c r="L48" i="43"/>
  <c r="L46" i="43"/>
  <c r="L45" i="43"/>
  <c r="F41" i="19"/>
  <c r="C47" i="3" l="1"/>
  <c r="D71" i="3"/>
  <c r="E73" i="3"/>
  <c r="E72" i="3" l="1"/>
  <c r="C48" i="3"/>
  <c r="B17" i="19"/>
  <c r="C17" i="19"/>
  <c r="F17" i="19"/>
  <c r="B15" i="19"/>
  <c r="C15" i="19"/>
  <c r="F15" i="19"/>
  <c r="C39" i="3" l="1"/>
  <c r="E8" i="32"/>
  <c r="E9" i="32"/>
  <c r="E10" i="32"/>
  <c r="E5" i="32" l="1"/>
  <c r="E6" i="32"/>
  <c r="E7" i="32"/>
  <c r="E4" i="32"/>
  <c r="C22" i="32"/>
  <c r="D16" i="19" l="1"/>
  <c r="D14" i="19"/>
  <c r="D21" i="19"/>
  <c r="D20" i="19"/>
  <c r="H22" i="32"/>
  <c r="G22" i="32"/>
  <c r="F22" i="32"/>
  <c r="D15" i="19"/>
  <c r="D17" i="19"/>
  <c r="D19" i="19"/>
  <c r="D18" i="19"/>
  <c r="E22" i="32"/>
  <c r="E15" i="19" l="1"/>
  <c r="G15" i="19"/>
  <c r="E17" i="19"/>
  <c r="G17" i="19"/>
  <c r="D12" i="18"/>
  <c r="F22" i="39" l="1"/>
  <c r="E33" i="41" l="1"/>
  <c r="D33" i="41"/>
  <c r="C19" i="33"/>
  <c r="B19" i="33"/>
  <c r="A19" i="33"/>
  <c r="B18" i="33"/>
  <c r="A18" i="33"/>
  <c r="C17" i="33"/>
  <c r="B17" i="33"/>
  <c r="A17" i="33"/>
  <c r="B16" i="33"/>
  <c r="A16" i="33"/>
  <c r="C15" i="33"/>
  <c r="B15" i="33"/>
  <c r="A15" i="33"/>
  <c r="C14" i="33"/>
  <c r="B14" i="33"/>
  <c r="A14" i="33"/>
  <c r="B13" i="33"/>
  <c r="A13" i="33"/>
  <c r="C12" i="33"/>
  <c r="B12" i="33"/>
  <c r="A12" i="33"/>
  <c r="C11" i="33"/>
  <c r="B11" i="33"/>
  <c r="A11" i="33"/>
  <c r="C10" i="33"/>
  <c r="B10" i="33"/>
  <c r="A10" i="33"/>
  <c r="C9" i="33"/>
  <c r="B9" i="33"/>
  <c r="A9" i="33"/>
  <c r="C8" i="33"/>
  <c r="B8" i="33"/>
  <c r="A8" i="33"/>
  <c r="C7" i="33"/>
  <c r="B7" i="33"/>
  <c r="A7" i="33"/>
  <c r="C6" i="33"/>
  <c r="B6" i="33"/>
  <c r="A6" i="33"/>
  <c r="C5" i="33"/>
  <c r="B5" i="33"/>
  <c r="A5" i="33"/>
  <c r="H15" i="5"/>
  <c r="H15" i="33" s="1"/>
  <c r="B30" i="20"/>
  <c r="D34" i="41" l="1"/>
  <c r="A1" i="33"/>
  <c r="P9" i="35"/>
  <c r="Q9" i="35" s="1"/>
  <c r="P11" i="35"/>
  <c r="Q11" i="35" s="1"/>
  <c r="P15" i="35"/>
  <c r="Q15" i="35" s="1"/>
  <c r="P27" i="35"/>
  <c r="Q27" i="35" s="1"/>
  <c r="P28" i="35"/>
  <c r="Q28" i="35" s="1"/>
  <c r="P29" i="35"/>
  <c r="Q29" i="35" s="1"/>
  <c r="P30" i="35"/>
  <c r="Q30" i="35" s="1"/>
  <c r="P31" i="35"/>
  <c r="Q31" i="35" s="1"/>
  <c r="A25" i="35"/>
  <c r="B25" i="35"/>
  <c r="C25" i="35"/>
  <c r="A23" i="35"/>
  <c r="B23" i="35"/>
  <c r="C23" i="35"/>
  <c r="A24" i="35"/>
  <c r="B24" i="35"/>
  <c r="C24" i="35"/>
  <c r="A22" i="35"/>
  <c r="B22" i="35"/>
  <c r="C22" i="35"/>
  <c r="A21" i="35"/>
  <c r="B21" i="35"/>
  <c r="C21" i="35"/>
  <c r="A17" i="35"/>
  <c r="B17" i="35"/>
  <c r="C17" i="35"/>
  <c r="A18" i="35"/>
  <c r="B18" i="35"/>
  <c r="C18" i="35"/>
  <c r="A19" i="35"/>
  <c r="B19" i="35"/>
  <c r="C19" i="35"/>
  <c r="A20" i="35"/>
  <c r="B20" i="35"/>
  <c r="C20" i="35"/>
  <c r="J24" i="33"/>
  <c r="D14" i="21"/>
  <c r="G4" i="43"/>
  <c r="B4" i="43"/>
  <c r="C3" i="43"/>
  <c r="B47" i="43"/>
  <c r="B40" i="43"/>
  <c r="B39" i="43"/>
  <c r="F32" i="43"/>
  <c r="C32" i="43"/>
  <c r="B32" i="43"/>
  <c r="E27" i="43"/>
  <c r="C27" i="43"/>
  <c r="B27" i="43"/>
  <c r="E26" i="43"/>
  <c r="C26" i="43"/>
  <c r="B26" i="43"/>
  <c r="E25" i="43"/>
  <c r="C25" i="43"/>
  <c r="B25" i="43"/>
  <c r="D24" i="43"/>
  <c r="E24" i="43" s="1"/>
  <c r="C24" i="43"/>
  <c r="B24" i="43"/>
  <c r="D23" i="43"/>
  <c r="C23" i="43"/>
  <c r="B23" i="43"/>
  <c r="D22" i="43"/>
  <c r="E22" i="43" s="1"/>
  <c r="C22" i="43"/>
  <c r="B22" i="43"/>
  <c r="C21" i="43"/>
  <c r="B21" i="43"/>
  <c r="C20" i="43"/>
  <c r="B20" i="43"/>
  <c r="C19" i="43"/>
  <c r="B19" i="43"/>
  <c r="C18" i="43"/>
  <c r="B18" i="43"/>
  <c r="C15" i="43"/>
  <c r="B15" i="43"/>
  <c r="C12" i="43"/>
  <c r="B12" i="43"/>
  <c r="C11" i="43"/>
  <c r="B11" i="43"/>
  <c r="C10" i="43"/>
  <c r="B10" i="43"/>
  <c r="C9" i="43"/>
  <c r="B9" i="43"/>
  <c r="B1" i="43"/>
  <c r="C51" i="41"/>
  <c r="F51" i="41" s="1"/>
  <c r="C50" i="41"/>
  <c r="F50" i="41" s="1"/>
  <c r="C49" i="41"/>
  <c r="F49" i="41" s="1"/>
  <c r="D48" i="41"/>
  <c r="C48" i="41"/>
  <c r="D21" i="43"/>
  <c r="F46" i="41"/>
  <c r="D20" i="43" s="1"/>
  <c r="E20" i="43" s="1"/>
  <c r="F45" i="41"/>
  <c r="D19" i="43" s="1"/>
  <c r="F44" i="41"/>
  <c r="D18" i="43" s="1"/>
  <c r="E18" i="43" s="1"/>
  <c r="D22" i="41"/>
  <c r="E22" i="41" s="1"/>
  <c r="D21" i="41"/>
  <c r="E21" i="41" s="1"/>
  <c r="D12" i="41"/>
  <c r="E12" i="41" s="1"/>
  <c r="D9" i="41"/>
  <c r="E9" i="41" s="1"/>
  <c r="P48" i="43" s="1"/>
  <c r="A1" i="41"/>
  <c r="E21" i="43" l="1"/>
  <c r="F18" i="43"/>
  <c r="G18" i="43" s="1"/>
  <c r="F20" i="43"/>
  <c r="G20" i="43" s="1"/>
  <c r="C17" i="41"/>
  <c r="C16" i="41"/>
  <c r="C15" i="41"/>
  <c r="C14" i="41"/>
  <c r="F25" i="43"/>
  <c r="G25" i="43" s="1"/>
  <c r="F23" i="43"/>
  <c r="G23" i="43" s="1"/>
  <c r="F22" i="43"/>
  <c r="G22" i="43" s="1"/>
  <c r="F24" i="43"/>
  <c r="G24" i="43" s="1"/>
  <c r="F26" i="43"/>
  <c r="G26" i="43" s="1"/>
  <c r="F27" i="43"/>
  <c r="G27" i="43" s="1"/>
  <c r="F19" i="43"/>
  <c r="G19" i="43" s="1"/>
  <c r="F21" i="43"/>
  <c r="G21" i="43" s="1"/>
  <c r="E19" i="43"/>
  <c r="E23" i="43"/>
  <c r="G33" i="41"/>
  <c r="E23" i="41"/>
  <c r="P45" i="43" s="1"/>
  <c r="F48" i="41"/>
  <c r="F52" i="41" s="1"/>
  <c r="P53" i="43" s="1"/>
  <c r="P54" i="43" l="1"/>
  <c r="D15" i="43"/>
  <c r="E15" i="43" s="1"/>
  <c r="E16" i="43" s="1"/>
  <c r="P50" i="43"/>
  <c r="P46" i="43"/>
  <c r="C28" i="41"/>
  <c r="C40" i="41" s="1"/>
  <c r="D11" i="43" s="1"/>
  <c r="E11" i="43" s="1"/>
  <c r="C27" i="41"/>
  <c r="C39" i="41" s="1"/>
  <c r="D10" i="43" s="1"/>
  <c r="E10" i="43" s="1"/>
  <c r="C25" i="41"/>
  <c r="C37" i="41" s="1"/>
  <c r="D12" i="43" s="1"/>
  <c r="E12" i="43" s="1"/>
  <c r="C26" i="41"/>
  <c r="C38" i="41" s="1"/>
  <c r="D9" i="43" s="1"/>
  <c r="E9" i="43" s="1"/>
  <c r="D40" i="43" l="1"/>
  <c r="D39" i="43"/>
  <c r="P51" i="43"/>
  <c r="E13" i="43"/>
  <c r="E9" i="17"/>
  <c r="E10" i="17"/>
  <c r="E11" i="17"/>
  <c r="E12" i="17"/>
  <c r="E13" i="17"/>
  <c r="E14" i="17"/>
  <c r="E15" i="17"/>
  <c r="E16" i="17"/>
  <c r="E17" i="17"/>
  <c r="E18" i="17"/>
  <c r="E19" i="17"/>
  <c r="E20" i="17"/>
  <c r="B12" i="39"/>
  <c r="C12" i="39"/>
  <c r="E12" i="39"/>
  <c r="G4" i="39"/>
  <c r="B4" i="39"/>
  <c r="C3" i="39"/>
  <c r="B13" i="39"/>
  <c r="C13" i="39"/>
  <c r="E13" i="39"/>
  <c r="F14" i="39" l="1"/>
  <c r="G14" i="39" s="1"/>
  <c r="B37" i="39"/>
  <c r="F36" i="39"/>
  <c r="B36" i="39"/>
  <c r="B29" i="39"/>
  <c r="C22" i="39"/>
  <c r="B22" i="39"/>
  <c r="C11" i="39"/>
  <c r="B11" i="39"/>
  <c r="E10" i="39"/>
  <c r="C10" i="39"/>
  <c r="B10" i="39"/>
  <c r="C9" i="39"/>
  <c r="B9" i="39"/>
  <c r="E8" i="39"/>
  <c r="C8" i="39"/>
  <c r="B8" i="39"/>
  <c r="B1" i="39"/>
  <c r="D18" i="6"/>
  <c r="B18" i="6"/>
  <c r="B17" i="6"/>
  <c r="F37" i="39" l="1"/>
  <c r="E30" i="3" l="1"/>
  <c r="E33" i="3" s="1"/>
  <c r="F40" i="43" l="1"/>
  <c r="G40" i="43" s="1"/>
  <c r="D39" i="3"/>
  <c r="A1" i="3"/>
  <c r="B1" i="32"/>
  <c r="A35" i="35"/>
  <c r="A36" i="35"/>
  <c r="A33" i="35"/>
  <c r="A34" i="35"/>
  <c r="A32" i="35"/>
  <c r="A26" i="35"/>
  <c r="B26" i="35"/>
  <c r="C26" i="35"/>
  <c r="C16" i="35"/>
  <c r="B16" i="35"/>
  <c r="A16" i="35"/>
  <c r="A10" i="35"/>
  <c r="E39" i="3" l="1"/>
  <c r="E41" i="3" s="1"/>
  <c r="D11" i="19"/>
  <c r="D13" i="19"/>
  <c r="D12" i="19"/>
  <c r="P30" i="5"/>
  <c r="D5" i="5"/>
  <c r="P33" i="33"/>
  <c r="C10" i="35"/>
  <c r="B9" i="35"/>
  <c r="B10" i="35"/>
  <c r="A1" i="35"/>
  <c r="D14" i="5" l="1"/>
  <c r="D10" i="5"/>
  <c r="D6" i="5"/>
  <c r="D19" i="5"/>
  <c r="D5" i="33"/>
  <c r="D10" i="35"/>
  <c r="D7" i="5"/>
  <c r="F29" i="39" l="1"/>
  <c r="F39" i="43"/>
  <c r="G39" i="43" s="1"/>
  <c r="G42" i="43" s="1"/>
  <c r="G14" i="5" s="1"/>
  <c r="G14" i="33" s="1"/>
  <c r="D20" i="35"/>
  <c r="D10" i="33"/>
  <c r="D14" i="33"/>
  <c r="D23" i="35"/>
  <c r="C4" i="34"/>
  <c r="D4" i="34" s="1"/>
  <c r="D6" i="33"/>
  <c r="C5" i="34"/>
  <c r="D5" i="34" s="1"/>
  <c r="C3" i="34"/>
  <c r="D3" i="34" s="1"/>
  <c r="D16" i="35"/>
  <c r="C6" i="34"/>
  <c r="D6" i="34" s="1"/>
  <c r="D19" i="33"/>
  <c r="D17" i="35"/>
  <c r="D7" i="33"/>
  <c r="M14" i="5" l="1"/>
  <c r="M14" i="33"/>
  <c r="J23" i="33" l="1"/>
  <c r="J22" i="33"/>
  <c r="E9" i="21"/>
  <c r="E10" i="21"/>
  <c r="E11" i="21"/>
  <c r="E12" i="21"/>
  <c r="E13" i="21"/>
  <c r="E14" i="21"/>
  <c r="E16" i="21"/>
  <c r="E17" i="21"/>
  <c r="E18" i="21"/>
  <c r="E19" i="21"/>
  <c r="E20" i="21"/>
  <c r="E21" i="21"/>
  <c r="E23" i="21"/>
  <c r="E24" i="21"/>
  <c r="B9" i="21"/>
  <c r="C9" i="21"/>
  <c r="B10" i="21"/>
  <c r="C10" i="21"/>
  <c r="B11" i="21"/>
  <c r="C11" i="21"/>
  <c r="B12" i="21"/>
  <c r="C12" i="21"/>
  <c r="B13" i="21"/>
  <c r="C13" i="21"/>
  <c r="B14" i="21"/>
  <c r="C14" i="21"/>
  <c r="B16" i="21"/>
  <c r="C16" i="21"/>
  <c r="B17" i="21"/>
  <c r="C17" i="21"/>
  <c r="B18" i="21"/>
  <c r="C18" i="21"/>
  <c r="B19" i="21"/>
  <c r="C19" i="21"/>
  <c r="B20" i="21"/>
  <c r="C20" i="21"/>
  <c r="B21" i="21"/>
  <c r="C21" i="21"/>
  <c r="B22" i="21"/>
  <c r="C22" i="21"/>
  <c r="B23" i="21"/>
  <c r="C23" i="21"/>
  <c r="B24" i="21"/>
  <c r="C24" i="21"/>
  <c r="E8" i="21"/>
  <c r="C8" i="21"/>
  <c r="B8" i="21"/>
  <c r="G4" i="21"/>
  <c r="B4" i="21"/>
  <c r="C3" i="21"/>
  <c r="B44" i="21"/>
  <c r="B43" i="21"/>
  <c r="F36" i="21"/>
  <c r="B36" i="21"/>
  <c r="F43" i="21"/>
  <c r="C29" i="21"/>
  <c r="B29" i="21"/>
  <c r="B1" i="21"/>
  <c r="B16" i="20"/>
  <c r="C16" i="20"/>
  <c r="D16" i="20"/>
  <c r="G16" i="20" s="1"/>
  <c r="G4" i="20"/>
  <c r="B4" i="20"/>
  <c r="C3" i="20"/>
  <c r="D15" i="5"/>
  <c r="F22" i="20"/>
  <c r="B22" i="20"/>
  <c r="C15" i="20"/>
  <c r="B15" i="20"/>
  <c r="B1" i="20"/>
  <c r="G4" i="18"/>
  <c r="C3" i="18"/>
  <c r="B4" i="18"/>
  <c r="E12" i="19"/>
  <c r="E21" i="19"/>
  <c r="E19" i="19"/>
  <c r="E18" i="19"/>
  <c r="E16" i="19"/>
  <c r="E14" i="19"/>
  <c r="E13" i="19"/>
  <c r="E11" i="19"/>
  <c r="E20" i="19"/>
  <c r="B9" i="19"/>
  <c r="C9" i="19"/>
  <c r="B10" i="19"/>
  <c r="C10" i="19"/>
  <c r="B11" i="19"/>
  <c r="C11" i="19"/>
  <c r="B12" i="19"/>
  <c r="C12" i="19"/>
  <c r="B13" i="19"/>
  <c r="C13" i="19"/>
  <c r="B14" i="19"/>
  <c r="C14" i="19"/>
  <c r="B16" i="19"/>
  <c r="C16" i="19"/>
  <c r="B18" i="19"/>
  <c r="C18" i="19"/>
  <c r="B19" i="19"/>
  <c r="C19" i="19"/>
  <c r="B20" i="19"/>
  <c r="C20" i="19"/>
  <c r="B21" i="19"/>
  <c r="C21" i="19"/>
  <c r="G4" i="19"/>
  <c r="B4" i="19"/>
  <c r="C3" i="19"/>
  <c r="B41" i="19"/>
  <c r="B40" i="19"/>
  <c r="F33" i="19"/>
  <c r="B33" i="19"/>
  <c r="C26" i="19"/>
  <c r="B26" i="19"/>
  <c r="E10" i="19"/>
  <c r="E9" i="19"/>
  <c r="E8" i="19"/>
  <c r="C8" i="19"/>
  <c r="B8" i="19"/>
  <c r="B1" i="19"/>
  <c r="D26" i="35"/>
  <c r="D12" i="5"/>
  <c r="D17" i="5"/>
  <c r="F18" i="18"/>
  <c r="D24" i="35" l="1"/>
  <c r="D15" i="33"/>
  <c r="N15" i="5"/>
  <c r="D22" i="35"/>
  <c r="D12" i="33"/>
  <c r="D25" i="35"/>
  <c r="D17" i="33"/>
  <c r="F44" i="21"/>
  <c r="G11" i="20"/>
  <c r="D22" i="20"/>
  <c r="G22" i="20" s="1"/>
  <c r="G25" i="20" s="1"/>
  <c r="D33" i="19"/>
  <c r="G33" i="19" s="1"/>
  <c r="G36" i="19" s="1"/>
  <c r="N15" i="33" l="1"/>
  <c r="E15" i="5"/>
  <c r="G17" i="5"/>
  <c r="G15" i="5"/>
  <c r="B33" i="18"/>
  <c r="B32" i="18"/>
  <c r="F25" i="18"/>
  <c r="B25" i="18"/>
  <c r="F32" i="18"/>
  <c r="C18" i="18"/>
  <c r="B18" i="18"/>
  <c r="E13" i="18"/>
  <c r="C13" i="18"/>
  <c r="B13" i="18"/>
  <c r="E12" i="18"/>
  <c r="C12" i="18"/>
  <c r="B12" i="18"/>
  <c r="E11" i="18"/>
  <c r="C11" i="18"/>
  <c r="B11" i="18"/>
  <c r="E10" i="18"/>
  <c r="C10" i="18"/>
  <c r="B10" i="18"/>
  <c r="E9" i="18"/>
  <c r="C9" i="18"/>
  <c r="B9" i="18"/>
  <c r="E8" i="18"/>
  <c r="C8" i="18"/>
  <c r="B8" i="18"/>
  <c r="B1" i="18"/>
  <c r="K15" i="5" l="1"/>
  <c r="E15" i="33"/>
  <c r="K15" i="33" s="1"/>
  <c r="G15" i="33"/>
  <c r="M15" i="33" s="1"/>
  <c r="M15" i="5"/>
  <c r="G17" i="33"/>
  <c r="M17" i="33" s="1"/>
  <c r="M17" i="5"/>
  <c r="D25" i="18"/>
  <c r="G25" i="18" s="1"/>
  <c r="G28" i="18" s="1"/>
  <c r="F33" i="18"/>
  <c r="G12" i="5" l="1"/>
  <c r="E22" i="17"/>
  <c r="B20" i="17"/>
  <c r="C20" i="17"/>
  <c r="F29" i="17"/>
  <c r="F43" i="17" s="1"/>
  <c r="B9" i="17"/>
  <c r="C9" i="17"/>
  <c r="B10" i="17"/>
  <c r="C10" i="17"/>
  <c r="B11" i="17"/>
  <c r="C11" i="17"/>
  <c r="B12" i="17"/>
  <c r="C12" i="17"/>
  <c r="B13" i="17"/>
  <c r="C13" i="17"/>
  <c r="B14" i="17"/>
  <c r="C14" i="17"/>
  <c r="B15" i="17"/>
  <c r="C15" i="17"/>
  <c r="B16" i="17"/>
  <c r="C16" i="17"/>
  <c r="B17" i="17"/>
  <c r="C17" i="17"/>
  <c r="B18" i="17"/>
  <c r="C18" i="17"/>
  <c r="B19" i="17"/>
  <c r="C19" i="17"/>
  <c r="B21" i="17"/>
  <c r="C21" i="17"/>
  <c r="B22" i="17"/>
  <c r="C22" i="17"/>
  <c r="G4" i="17"/>
  <c r="B4" i="17"/>
  <c r="C3" i="17"/>
  <c r="B44" i="17"/>
  <c r="B43" i="17"/>
  <c r="F36" i="17"/>
  <c r="B36" i="17"/>
  <c r="C29" i="17"/>
  <c r="B29" i="17"/>
  <c r="E8" i="17"/>
  <c r="C8" i="17"/>
  <c r="B8" i="17"/>
  <c r="B1" i="17"/>
  <c r="F15" i="16"/>
  <c r="F29" i="16" s="1"/>
  <c r="B4" i="16"/>
  <c r="G4" i="16"/>
  <c r="C3" i="16"/>
  <c r="B30" i="16"/>
  <c r="B29" i="16"/>
  <c r="F22" i="16"/>
  <c r="B22" i="16"/>
  <c r="C15" i="16"/>
  <c r="B15" i="16"/>
  <c r="E8" i="16"/>
  <c r="D22" i="16" s="1"/>
  <c r="C8" i="16"/>
  <c r="B8" i="16"/>
  <c r="B1" i="16"/>
  <c r="B9" i="15"/>
  <c r="C9" i="15"/>
  <c r="E9" i="15"/>
  <c r="G12" i="33" l="1"/>
  <c r="M12" i="33" s="1"/>
  <c r="M12" i="5"/>
  <c r="G22" i="16"/>
  <c r="G25" i="16" s="1"/>
  <c r="F44" i="17"/>
  <c r="F30" i="16"/>
  <c r="G11" i="5" l="1"/>
  <c r="G11" i="33" s="1"/>
  <c r="F15" i="15"/>
  <c r="G4" i="15"/>
  <c r="B4" i="15"/>
  <c r="C3" i="15"/>
  <c r="B30" i="15"/>
  <c r="B29" i="15"/>
  <c r="F22" i="15"/>
  <c r="B22" i="15"/>
  <c r="F29" i="15"/>
  <c r="C15" i="15"/>
  <c r="B15" i="15"/>
  <c r="E8" i="15"/>
  <c r="D22" i="15" s="1"/>
  <c r="C8" i="15"/>
  <c r="B8" i="15"/>
  <c r="B1" i="15"/>
  <c r="F15" i="14"/>
  <c r="F30" i="14" s="1"/>
  <c r="G4" i="14"/>
  <c r="B4" i="14"/>
  <c r="C3" i="14"/>
  <c r="B30" i="14"/>
  <c r="B29" i="14"/>
  <c r="F22" i="14"/>
  <c r="B22" i="14"/>
  <c r="C15" i="14"/>
  <c r="B15" i="14"/>
  <c r="E8" i="14"/>
  <c r="C8" i="14"/>
  <c r="B8" i="14"/>
  <c r="B1" i="14"/>
  <c r="D8" i="5"/>
  <c r="D11" i="5"/>
  <c r="D9" i="5"/>
  <c r="D18" i="35" l="1"/>
  <c r="D8" i="33"/>
  <c r="D19" i="35"/>
  <c r="D9" i="33"/>
  <c r="D21" i="35"/>
  <c r="M11" i="5"/>
  <c r="D11" i="33"/>
  <c r="G22" i="15"/>
  <c r="G25" i="15" s="1"/>
  <c r="F29" i="14"/>
  <c r="F30" i="15"/>
  <c r="M11" i="33" l="1"/>
  <c r="G10" i="5"/>
  <c r="G10" i="33" l="1"/>
  <c r="M10" i="33" s="1"/>
  <c r="M10" i="5"/>
  <c r="B11" i="7"/>
  <c r="C11" i="7"/>
  <c r="E11" i="7"/>
  <c r="F25" i="7"/>
  <c r="B25" i="7"/>
  <c r="B33" i="7"/>
  <c r="B32" i="7"/>
  <c r="C18" i="7"/>
  <c r="B18" i="7"/>
  <c r="B10" i="7"/>
  <c r="C10" i="7"/>
  <c r="E10" i="7"/>
  <c r="E375" i="10"/>
  <c r="F12" i="39"/>
  <c r="G12" i="39" s="1"/>
  <c r="B9" i="7"/>
  <c r="C9" i="7"/>
  <c r="E9" i="7"/>
  <c r="B8" i="7"/>
  <c r="E8" i="7"/>
  <c r="C8" i="7"/>
  <c r="A1" i="10"/>
  <c r="F12" i="19"/>
  <c r="G12" i="19" s="1"/>
  <c r="F11" i="19"/>
  <c r="G11" i="19" s="1"/>
  <c r="F10" i="19"/>
  <c r="G10" i="19" s="1"/>
  <c r="F9" i="19"/>
  <c r="G9" i="19" s="1"/>
  <c r="F21" i="19"/>
  <c r="G21" i="19" s="1"/>
  <c r="F20" i="19"/>
  <c r="G20" i="19" s="1"/>
  <c r="F19" i="19"/>
  <c r="G19" i="19" s="1"/>
  <c r="F18" i="19"/>
  <c r="G18" i="19" s="1"/>
  <c r="F16" i="19"/>
  <c r="G16" i="19" s="1"/>
  <c r="F14" i="19"/>
  <c r="G14" i="19" s="1"/>
  <c r="F13" i="19"/>
  <c r="G13" i="19" s="1"/>
  <c r="F8" i="19"/>
  <c r="G8" i="19" s="1"/>
  <c r="E331" i="10"/>
  <c r="F13" i="7"/>
  <c r="G13" i="7" s="1"/>
  <c r="E208" i="10"/>
  <c r="F15" i="43"/>
  <c r="G15" i="43" s="1"/>
  <c r="F16" i="43" s="1"/>
  <c r="G16" i="43" s="1"/>
  <c r="F15" i="17"/>
  <c r="G15" i="17" s="1"/>
  <c r="F13" i="17"/>
  <c r="G13" i="17" s="1"/>
  <c r="F11" i="17"/>
  <c r="G11" i="17" s="1"/>
  <c r="F10" i="17"/>
  <c r="G10" i="17" s="1"/>
  <c r="F9" i="17"/>
  <c r="G9" i="17" s="1"/>
  <c r="F8" i="17"/>
  <c r="G8" i="17" s="1"/>
  <c r="E138" i="10"/>
  <c r="E11" i="39" s="1"/>
  <c r="E136" i="10"/>
  <c r="F17" i="39"/>
  <c r="G17" i="39" s="1"/>
  <c r="F8" i="39"/>
  <c r="G8" i="39" s="1"/>
  <c r="E110" i="10"/>
  <c r="C92" i="10"/>
  <c r="E88" i="10"/>
  <c r="E87" i="10"/>
  <c r="E9" i="39" s="1"/>
  <c r="F9" i="18"/>
  <c r="G9" i="18" s="1"/>
  <c r="F11" i="18"/>
  <c r="G11" i="18" s="1"/>
  <c r="F8" i="18"/>
  <c r="G8" i="18" s="1"/>
  <c r="E49" i="10"/>
  <c r="E48" i="10"/>
  <c r="E43" i="10"/>
  <c r="F17" i="17"/>
  <c r="G17" i="17" s="1"/>
  <c r="F16" i="17"/>
  <c r="G16" i="17" s="1"/>
  <c r="F9" i="7"/>
  <c r="G9" i="7" s="1"/>
  <c r="G4" i="7"/>
  <c r="B4" i="7"/>
  <c r="C3" i="7"/>
  <c r="B1" i="7"/>
  <c r="B31" i="6"/>
  <c r="B30" i="6"/>
  <c r="E18" i="6"/>
  <c r="E17" i="6"/>
  <c r="F4" i="6"/>
  <c r="B4" i="6"/>
  <c r="C3" i="6"/>
  <c r="B1" i="6"/>
  <c r="F13" i="6"/>
  <c r="A2" i="4"/>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F15" i="4"/>
  <c r="G15" i="4" s="1"/>
  <c r="J14" i="4"/>
  <c r="J15" i="4" s="1"/>
  <c r="J16" i="4" s="1"/>
  <c r="J17" i="4" s="1"/>
  <c r="J18" i="4" s="1"/>
  <c r="J19" i="4" s="1"/>
  <c r="J20" i="4" s="1"/>
  <c r="J21" i="4" s="1"/>
  <c r="J22" i="4" s="1"/>
  <c r="J23" i="4" s="1"/>
  <c r="J24" i="4" s="1"/>
  <c r="J25" i="4" s="1"/>
  <c r="J26" i="4" s="1"/>
  <c r="J27" i="4" s="1"/>
  <c r="J28" i="4" s="1"/>
  <c r="J29" i="4" s="1"/>
  <c r="J30" i="4" s="1"/>
  <c r="J31" i="4" s="1"/>
  <c r="F14" i="4"/>
  <c r="G14" i="4" s="1"/>
  <c r="F13" i="4"/>
  <c r="G13" i="4" s="1"/>
  <c r="F5" i="2"/>
  <c r="D17" i="6"/>
  <c r="D58" i="1"/>
  <c r="F58" i="1" s="1"/>
  <c r="D57" i="1"/>
  <c r="F57" i="1" s="1"/>
  <c r="D56" i="1"/>
  <c r="F56" i="1" s="1"/>
  <c r="D55" i="1"/>
  <c r="F55" i="1" s="1"/>
  <c r="D54" i="1"/>
  <c r="F54" i="1" s="1"/>
  <c r="D53" i="1"/>
  <c r="F53" i="1" s="1"/>
  <c r="D52" i="1"/>
  <c r="F52" i="1" s="1"/>
  <c r="D51" i="1"/>
  <c r="F51" i="1" s="1"/>
  <c r="D50" i="1"/>
  <c r="F50" i="1" s="1"/>
  <c r="D49" i="1"/>
  <c r="F49" i="1" s="1"/>
  <c r="D48" i="1"/>
  <c r="F48" i="1" s="1"/>
  <c r="D47" i="1"/>
  <c r="F47" i="1" s="1"/>
  <c r="D46" i="1"/>
  <c r="F46" i="1" s="1"/>
  <c r="D45" i="1"/>
  <c r="F45" i="1" s="1"/>
  <c r="D44" i="1"/>
  <c r="F44" i="1" s="1"/>
  <c r="D43" i="1"/>
  <c r="F43" i="1" s="1"/>
  <c r="D42" i="1"/>
  <c r="F42" i="1" s="1"/>
  <c r="D41" i="1"/>
  <c r="F41" i="1" s="1"/>
  <c r="D40" i="1"/>
  <c r="F40" i="1" s="1"/>
  <c r="D39" i="1"/>
  <c r="F39" i="1" s="1"/>
  <c r="D38" i="1"/>
  <c r="F38" i="1" s="1"/>
  <c r="D37" i="1"/>
  <c r="F37" i="1" s="1"/>
  <c r="D36" i="1"/>
  <c r="F36" i="1" s="1"/>
  <c r="D35" i="1"/>
  <c r="F35" i="1" s="1"/>
  <c r="D34" i="1"/>
  <c r="F34" i="1" s="1"/>
  <c r="D33" i="1"/>
  <c r="F33" i="1" s="1"/>
  <c r="D32" i="1"/>
  <c r="F32" i="1" s="1"/>
  <c r="D31" i="1"/>
  <c r="F31" i="1" s="1"/>
  <c r="D30" i="1"/>
  <c r="F30" i="1" s="1"/>
  <c r="D23" i="1"/>
  <c r="C22" i="1"/>
  <c r="D22" i="1" s="1"/>
  <c r="C21" i="1"/>
  <c r="D20" i="1"/>
  <c r="D19" i="1"/>
  <c r="D18" i="1"/>
  <c r="D17" i="1"/>
  <c r="D16" i="1"/>
  <c r="C15" i="1"/>
  <c r="D14" i="1"/>
  <c r="D13" i="1"/>
  <c r="F16" i="39" l="1"/>
  <c r="G16" i="39" s="1"/>
  <c r="F10" i="15"/>
  <c r="G10" i="15" s="1"/>
  <c r="E21" i="17"/>
  <c r="D36" i="17" s="1"/>
  <c r="G36" i="17" s="1"/>
  <c r="G39" i="17" s="1"/>
  <c r="E10" i="14"/>
  <c r="D22" i="14" s="1"/>
  <c r="G22" i="14" s="1"/>
  <c r="G25" i="14" s="1"/>
  <c r="G9" i="5" s="1"/>
  <c r="E12" i="7"/>
  <c r="D25" i="7" s="1"/>
  <c r="G25" i="7" s="1"/>
  <c r="G28" i="7" s="1"/>
  <c r="F24" i="17"/>
  <c r="G24" i="17" s="1"/>
  <c r="F15" i="21"/>
  <c r="G15" i="21" s="1"/>
  <c r="F10" i="16"/>
  <c r="G10" i="16" s="1"/>
  <c r="F23" i="17"/>
  <c r="G23" i="17" s="1"/>
  <c r="E29" i="4"/>
  <c r="H29" i="4" s="1"/>
  <c r="K17" i="4"/>
  <c r="K21" i="4"/>
  <c r="K30" i="4"/>
  <c r="D32" i="43"/>
  <c r="G32" i="43" s="1"/>
  <c r="G35" i="43" s="1"/>
  <c r="D22" i="39"/>
  <c r="G22" i="39" s="1"/>
  <c r="G25" i="39" s="1"/>
  <c r="E31" i="4"/>
  <c r="H31" i="4" s="1"/>
  <c r="E15" i="4"/>
  <c r="K25" i="4"/>
  <c r="E30" i="6"/>
  <c r="E31" i="6" s="1"/>
  <c r="E24" i="6"/>
  <c r="F24" i="6" s="1"/>
  <c r="F26" i="6" s="1"/>
  <c r="G5" i="5" s="1"/>
  <c r="E18" i="4"/>
  <c r="H18" i="4" s="1"/>
  <c r="D15" i="1"/>
  <c r="F18" i="7"/>
  <c r="E21" i="4"/>
  <c r="H21" i="4" s="1"/>
  <c r="K31" i="4"/>
  <c r="F11" i="43"/>
  <c r="G11" i="43" s="1"/>
  <c r="F12" i="43"/>
  <c r="G12" i="43" s="1"/>
  <c r="F10" i="43"/>
  <c r="G10" i="43" s="1"/>
  <c r="F9" i="43"/>
  <c r="G9" i="43" s="1"/>
  <c r="F13" i="18"/>
  <c r="G13" i="18" s="1"/>
  <c r="F22" i="17"/>
  <c r="G22" i="17" s="1"/>
  <c r="G8" i="5"/>
  <c r="F8" i="7"/>
  <c r="F20" i="17"/>
  <c r="G20" i="17" s="1"/>
  <c r="D29" i="39"/>
  <c r="G29" i="39" s="1"/>
  <c r="G32" i="39" s="1"/>
  <c r="E5" i="5"/>
  <c r="F17" i="6"/>
  <c r="D21" i="1"/>
  <c r="D24" i="1" s="1"/>
  <c r="K28" i="4"/>
  <c r="D29" i="21"/>
  <c r="G29" i="21" s="1"/>
  <c r="G32" i="21" s="1"/>
  <c r="F6" i="2"/>
  <c r="F8" i="2" s="1"/>
  <c r="F7" i="2"/>
  <c r="E20" i="4"/>
  <c r="H20" i="4" s="1"/>
  <c r="K24" i="4"/>
  <c r="F18" i="6"/>
  <c r="E17" i="4"/>
  <c r="E25" i="4"/>
  <c r="D18" i="7"/>
  <c r="F9" i="39"/>
  <c r="G9" i="39" s="1"/>
  <c r="E22" i="21"/>
  <c r="D36" i="21" s="1"/>
  <c r="G36" i="21" s="1"/>
  <c r="G39" i="21" s="1"/>
  <c r="F14" i="21"/>
  <c r="G14" i="21" s="1"/>
  <c r="F18" i="21"/>
  <c r="G18" i="21" s="1"/>
  <c r="F12" i="21"/>
  <c r="G12" i="21" s="1"/>
  <c r="F19" i="21"/>
  <c r="G19" i="21" s="1"/>
  <c r="F8" i="21"/>
  <c r="G8" i="21" s="1"/>
  <c r="F16" i="21"/>
  <c r="G16" i="21" s="1"/>
  <c r="F17" i="21"/>
  <c r="G17" i="21" s="1"/>
  <c r="F10" i="21"/>
  <c r="G10" i="21" s="1"/>
  <c r="F11" i="21"/>
  <c r="G11" i="21" s="1"/>
  <c r="F20" i="21"/>
  <c r="G20" i="21" s="1"/>
  <c r="F13" i="21"/>
  <c r="G13" i="21" s="1"/>
  <c r="F23" i="21"/>
  <c r="G23" i="21" s="1"/>
  <c r="F24" i="21"/>
  <c r="G24" i="21" s="1"/>
  <c r="D26" i="19"/>
  <c r="G26" i="19" s="1"/>
  <c r="G29" i="19" s="1"/>
  <c r="D15" i="20"/>
  <c r="G15" i="20" s="1"/>
  <c r="G18" i="20" s="1"/>
  <c r="D18" i="18"/>
  <c r="G18" i="18" s="1"/>
  <c r="G21" i="18" s="1"/>
  <c r="D29" i="17"/>
  <c r="G29" i="17" s="1"/>
  <c r="G32" i="17" s="1"/>
  <c r="D15" i="16"/>
  <c r="G15" i="16" s="1"/>
  <c r="G18" i="16" s="1"/>
  <c r="D15" i="14"/>
  <c r="G15" i="14" s="1"/>
  <c r="G18" i="14" s="1"/>
  <c r="D15" i="15"/>
  <c r="G15" i="15" s="1"/>
  <c r="G18" i="15" s="1"/>
  <c r="F12" i="18"/>
  <c r="G12" i="18" s="1"/>
  <c r="F12" i="17"/>
  <c r="G12" i="17" s="1"/>
  <c r="F8" i="16"/>
  <c r="G22" i="19"/>
  <c r="E17" i="5" s="1"/>
  <c r="F11" i="39"/>
  <c r="G11" i="39" s="1"/>
  <c r="F8" i="15"/>
  <c r="E4" i="34" s="1"/>
  <c r="F8" i="14"/>
  <c r="F10" i="7"/>
  <c r="G10" i="7" s="1"/>
  <c r="F10" i="39"/>
  <c r="G10" i="39" s="1"/>
  <c r="E27" i="9"/>
  <c r="J33" i="4"/>
  <c r="J32" i="4"/>
  <c r="K15" i="4"/>
  <c r="K26" i="4"/>
  <c r="E19" i="4"/>
  <c r="H19" i="4" s="1"/>
  <c r="K23" i="4"/>
  <c r="K29" i="4"/>
  <c r="K18" i="4"/>
  <c r="E22" i="4"/>
  <c r="K32" i="4"/>
  <c r="E13" i="4"/>
  <c r="H13" i="4" s="1"/>
  <c r="K20" i="4"/>
  <c r="E24" i="4"/>
  <c r="H24" i="4" s="1"/>
  <c r="E30" i="4"/>
  <c r="H30" i="4" s="1"/>
  <c r="K22" i="4"/>
  <c r="E26" i="4"/>
  <c r="H26" i="4" s="1"/>
  <c r="E32" i="4"/>
  <c r="H32" i="4" s="1"/>
  <c r="K13" i="4"/>
  <c r="K19" i="4"/>
  <c r="E23" i="4"/>
  <c r="H23" i="4" s="1"/>
  <c r="H17" i="4" l="1"/>
  <c r="H25" i="4"/>
  <c r="D30" i="20"/>
  <c r="D46" i="43"/>
  <c r="N53" i="43"/>
  <c r="N45" i="43"/>
  <c r="N57" i="43"/>
  <c r="D47" i="43"/>
  <c r="N46" i="43"/>
  <c r="N54" i="43"/>
  <c r="N56" i="43"/>
  <c r="N51" i="43"/>
  <c r="D48" i="43"/>
  <c r="N50" i="43"/>
  <c r="N63" i="43"/>
  <c r="N61" i="43"/>
  <c r="N48" i="43"/>
  <c r="N62" i="43"/>
  <c r="H22" i="4"/>
  <c r="G9" i="33"/>
  <c r="M9" i="33" s="1"/>
  <c r="M9" i="5"/>
  <c r="F15" i="39"/>
  <c r="G15" i="39" s="1"/>
  <c r="F9" i="14"/>
  <c r="G9" i="14" s="1"/>
  <c r="F9" i="16"/>
  <c r="G9" i="16" s="1"/>
  <c r="F21" i="17"/>
  <c r="G21" i="17" s="1"/>
  <c r="F10" i="14"/>
  <c r="G10" i="14" s="1"/>
  <c r="F12" i="7"/>
  <c r="G12" i="7" s="1"/>
  <c r="C43" i="21"/>
  <c r="C40" i="19"/>
  <c r="C29" i="14"/>
  <c r="C32" i="18"/>
  <c r="C43" i="17"/>
  <c r="C29" i="16"/>
  <c r="C36" i="39"/>
  <c r="C29" i="15"/>
  <c r="C32" i="7"/>
  <c r="H15" i="4"/>
  <c r="C30" i="6" s="1"/>
  <c r="E28" i="4"/>
  <c r="H28" i="4" s="1"/>
  <c r="K14" i="4"/>
  <c r="G18" i="7"/>
  <c r="G21" i="7" s="1"/>
  <c r="F6" i="5" s="1"/>
  <c r="G8" i="33"/>
  <c r="M8" i="33" s="1"/>
  <c r="M8" i="5"/>
  <c r="K5" i="5"/>
  <c r="E5" i="33"/>
  <c r="K5" i="33" s="1"/>
  <c r="F10" i="5"/>
  <c r="F14" i="5"/>
  <c r="F11" i="5"/>
  <c r="F13" i="43"/>
  <c r="G13" i="43" s="1"/>
  <c r="G28" i="43" s="1"/>
  <c r="F19" i="5"/>
  <c r="F9" i="5"/>
  <c r="F12" i="5"/>
  <c r="F33" i="7"/>
  <c r="F32" i="7"/>
  <c r="F7" i="5"/>
  <c r="D37" i="39"/>
  <c r="D36" i="39"/>
  <c r="F17" i="5"/>
  <c r="G7" i="5"/>
  <c r="G8" i="7"/>
  <c r="F9" i="15"/>
  <c r="G9" i="15" s="1"/>
  <c r="F9" i="21"/>
  <c r="G9" i="21" s="1"/>
  <c r="E3" i="34"/>
  <c r="F3" i="34" s="1"/>
  <c r="F18" i="17"/>
  <c r="G18" i="17" s="1"/>
  <c r="F8" i="5"/>
  <c r="G8" i="15"/>
  <c r="F4" i="34"/>
  <c r="G8" i="14"/>
  <c r="E5" i="34"/>
  <c r="F5" i="34" s="1"/>
  <c r="F10" i="18"/>
  <c r="G10" i="18" s="1"/>
  <c r="G14" i="18" s="1"/>
  <c r="F13" i="39"/>
  <c r="G13" i="39" s="1"/>
  <c r="G18" i="39" s="1"/>
  <c r="G8" i="16"/>
  <c r="G11" i="16" s="1"/>
  <c r="E6" i="34"/>
  <c r="F6" i="34" s="1"/>
  <c r="F20" i="6"/>
  <c r="G6" i="5"/>
  <c r="G19" i="5"/>
  <c r="F15" i="5"/>
  <c r="F15" i="33" s="1"/>
  <c r="L15" i="33" s="1"/>
  <c r="E14" i="4"/>
  <c r="D40" i="19"/>
  <c r="D41" i="19"/>
  <c r="D44" i="21"/>
  <c r="D43" i="21"/>
  <c r="D32" i="18"/>
  <c r="D33" i="18"/>
  <c r="D43" i="17"/>
  <c r="D30" i="16"/>
  <c r="D29" i="16"/>
  <c r="D44" i="17"/>
  <c r="D30" i="15"/>
  <c r="D29" i="14"/>
  <c r="D29" i="15"/>
  <c r="D30" i="14"/>
  <c r="D31" i="6"/>
  <c r="D33" i="7"/>
  <c r="D30" i="6"/>
  <c r="D32" i="7"/>
  <c r="F21" i="21"/>
  <c r="G21" i="21" s="1"/>
  <c r="F22" i="21"/>
  <c r="G22" i="21" s="1"/>
  <c r="F11" i="7"/>
  <c r="G11" i="7" s="1"/>
  <c r="F19" i="17"/>
  <c r="G19" i="17" s="1"/>
  <c r="F14" i="17"/>
  <c r="G14" i="17" s="1"/>
  <c r="K33" i="4"/>
  <c r="E33" i="4"/>
  <c r="H33" i="4" s="1"/>
  <c r="E27" i="4"/>
  <c r="K27" i="4"/>
  <c r="K16" i="4"/>
  <c r="E16" i="4"/>
  <c r="H16" i="4" s="1"/>
  <c r="C48" i="43" l="1"/>
  <c r="M63" i="43"/>
  <c r="M53" i="43"/>
  <c r="Q53" i="43" s="1"/>
  <c r="O63" i="43" s="1"/>
  <c r="Q63" i="43" s="1"/>
  <c r="F48" i="43" s="1"/>
  <c r="G48" i="43" s="1"/>
  <c r="G11" i="14"/>
  <c r="E9" i="5" s="1"/>
  <c r="M61" i="43"/>
  <c r="C46" i="43"/>
  <c r="M50" i="43"/>
  <c r="Q50" i="43" s="1"/>
  <c r="M45" i="43"/>
  <c r="Q45" i="43" s="1"/>
  <c r="M56" i="43"/>
  <c r="Q56" i="43" s="1"/>
  <c r="H14" i="4"/>
  <c r="F30" i="6"/>
  <c r="H5" i="5" s="1"/>
  <c r="N5" i="5" s="1"/>
  <c r="H27" i="4"/>
  <c r="G29" i="16"/>
  <c r="H11" i="5" s="1"/>
  <c r="G29" i="14"/>
  <c r="H9" i="5" s="1"/>
  <c r="G40" i="19"/>
  <c r="H17" i="5" s="1"/>
  <c r="L7" i="5"/>
  <c r="F7" i="33"/>
  <c r="L7" i="33" s="1"/>
  <c r="L9" i="5"/>
  <c r="F9" i="33"/>
  <c r="L9" i="33" s="1"/>
  <c r="L8" i="5"/>
  <c r="F8" i="33"/>
  <c r="L8" i="33" s="1"/>
  <c r="G19" i="33"/>
  <c r="M19" i="33" s="1"/>
  <c r="M19" i="5"/>
  <c r="L19" i="5"/>
  <c r="F19" i="33"/>
  <c r="L19" i="33" s="1"/>
  <c r="G6" i="33"/>
  <c r="M6" i="33" s="1"/>
  <c r="M6" i="5"/>
  <c r="M5" i="5"/>
  <c r="G5" i="33"/>
  <c r="M5" i="33" s="1"/>
  <c r="L10" i="5"/>
  <c r="F10" i="33"/>
  <c r="L10" i="33" s="1"/>
  <c r="L11" i="5"/>
  <c r="F11" i="33"/>
  <c r="L11" i="33" s="1"/>
  <c r="L17" i="5"/>
  <c r="F17" i="33"/>
  <c r="L17" i="33" s="1"/>
  <c r="L14" i="5"/>
  <c r="F14" i="33"/>
  <c r="L14" i="33" s="1"/>
  <c r="K17" i="5"/>
  <c r="E17" i="33"/>
  <c r="K17" i="33" s="1"/>
  <c r="G7" i="33"/>
  <c r="M7" i="33" s="1"/>
  <c r="M7" i="5"/>
  <c r="L12" i="5"/>
  <c r="F12" i="33"/>
  <c r="L12" i="33" s="1"/>
  <c r="L6" i="5"/>
  <c r="F6" i="33"/>
  <c r="L6" i="33" s="1"/>
  <c r="G36" i="39"/>
  <c r="H7" i="5" s="1"/>
  <c r="G29" i="15"/>
  <c r="H10" i="5" s="1"/>
  <c r="G43" i="17"/>
  <c r="H8" i="5" s="1"/>
  <c r="G32" i="18"/>
  <c r="H12" i="5" s="1"/>
  <c r="G43" i="21"/>
  <c r="H19" i="5" s="1"/>
  <c r="F5" i="5"/>
  <c r="E14" i="5"/>
  <c r="E14" i="33" s="1"/>
  <c r="K14" i="33" s="1"/>
  <c r="G11" i="15"/>
  <c r="E7" i="5"/>
  <c r="E7" i="33" s="1"/>
  <c r="K7" i="33" s="1"/>
  <c r="F7" i="34"/>
  <c r="E13" i="35" s="1"/>
  <c r="I13" i="35" s="1"/>
  <c r="E12" i="5"/>
  <c r="E11" i="5"/>
  <c r="G32" i="7"/>
  <c r="H6" i="5" s="1"/>
  <c r="L15" i="5"/>
  <c r="G25" i="21"/>
  <c r="G25" i="17"/>
  <c r="G14" i="7"/>
  <c r="O61" i="43" l="1"/>
  <c r="Q61" i="43" s="1"/>
  <c r="F46" i="43" s="1"/>
  <c r="G46" i="43" s="1"/>
  <c r="H14" i="5" s="1"/>
  <c r="N14" i="5" s="1"/>
  <c r="C31" i="6"/>
  <c r="F31" i="6" s="1"/>
  <c r="I5" i="5" s="1"/>
  <c r="M48" i="43"/>
  <c r="Q48" i="43" s="1"/>
  <c r="M54" i="43"/>
  <c r="Q54" i="43" s="1"/>
  <c r="M62" i="43"/>
  <c r="M46" i="43"/>
  <c r="Q46" i="43" s="1"/>
  <c r="M57" i="43"/>
  <c r="Q57" i="43" s="1"/>
  <c r="M51" i="43"/>
  <c r="Q51" i="43" s="1"/>
  <c r="H5" i="33"/>
  <c r="N5" i="33" s="1"/>
  <c r="Q58" i="43"/>
  <c r="C44" i="21"/>
  <c r="G44" i="21" s="1"/>
  <c r="G46" i="21" s="1"/>
  <c r="G48" i="21" s="1"/>
  <c r="C41" i="19"/>
  <c r="G41" i="19" s="1"/>
  <c r="I17" i="5" s="1"/>
  <c r="C30" i="20"/>
  <c r="G30" i="20" s="1"/>
  <c r="I15" i="5" s="1"/>
  <c r="I15" i="33" s="1"/>
  <c r="O15" i="33" s="1"/>
  <c r="C47" i="43"/>
  <c r="C30" i="14"/>
  <c r="G30" i="14" s="1"/>
  <c r="G32" i="14" s="1"/>
  <c r="G34" i="14" s="1"/>
  <c r="C44" i="17"/>
  <c r="G44" i="17" s="1"/>
  <c r="I8" i="5" s="1"/>
  <c r="I8" i="33" s="1"/>
  <c r="O8" i="33" s="1"/>
  <c r="C30" i="16"/>
  <c r="G30" i="16" s="1"/>
  <c r="G32" i="16" s="1"/>
  <c r="G34" i="16" s="1"/>
  <c r="C37" i="39"/>
  <c r="G37" i="39" s="1"/>
  <c r="G39" i="39" s="1"/>
  <c r="G41" i="39" s="1"/>
  <c r="C30" i="15"/>
  <c r="G30" i="15" s="1"/>
  <c r="I10" i="5" s="1"/>
  <c r="O10" i="5" s="1"/>
  <c r="C33" i="7"/>
  <c r="G33" i="7" s="1"/>
  <c r="I6" i="5" s="1"/>
  <c r="O6" i="5" s="1"/>
  <c r="C33" i="18"/>
  <c r="G33" i="18" s="1"/>
  <c r="G35" i="18" s="1"/>
  <c r="G37" i="18" s="1"/>
  <c r="H12" i="33"/>
  <c r="N12" i="33" s="1"/>
  <c r="N12" i="5"/>
  <c r="H8" i="33"/>
  <c r="N8" i="33" s="1"/>
  <c r="N8" i="5"/>
  <c r="F33" i="6"/>
  <c r="F35" i="6" s="1"/>
  <c r="H10" i="33"/>
  <c r="N10" i="33" s="1"/>
  <c r="N10" i="5"/>
  <c r="H9" i="33"/>
  <c r="N9" i="33" s="1"/>
  <c r="N9" i="5"/>
  <c r="H6" i="33"/>
  <c r="N6" i="33" s="1"/>
  <c r="N6" i="5"/>
  <c r="H19" i="33"/>
  <c r="N19" i="33" s="1"/>
  <c r="N19" i="5"/>
  <c r="H11" i="33"/>
  <c r="N11" i="33" s="1"/>
  <c r="N11" i="5"/>
  <c r="G43" i="19"/>
  <c r="G45" i="19" s="1"/>
  <c r="H17" i="33"/>
  <c r="N17" i="33" s="1"/>
  <c r="N17" i="5"/>
  <c r="H7" i="33"/>
  <c r="N7" i="33" s="1"/>
  <c r="N7" i="5"/>
  <c r="K14" i="5"/>
  <c r="M20" i="5"/>
  <c r="K12" i="5"/>
  <c r="E12" i="33"/>
  <c r="K12" i="33" s="1"/>
  <c r="K11" i="5"/>
  <c r="E11" i="33"/>
  <c r="K11" i="33" s="1"/>
  <c r="K9" i="5"/>
  <c r="E9" i="33"/>
  <c r="L5" i="5"/>
  <c r="L20" i="5" s="1"/>
  <c r="F5" i="33"/>
  <c r="L5" i="33" s="1"/>
  <c r="O15" i="5"/>
  <c r="E10" i="5"/>
  <c r="G35" i="7"/>
  <c r="E14" i="35"/>
  <c r="E12" i="35"/>
  <c r="K7" i="5"/>
  <c r="E8" i="5"/>
  <c r="E6" i="5"/>
  <c r="E19" i="5"/>
  <c r="E19" i="33" s="1"/>
  <c r="G31" i="20" l="1"/>
  <c r="H14" i="33"/>
  <c r="N14" i="33" s="1"/>
  <c r="O62" i="43"/>
  <c r="Q62" i="43" s="1"/>
  <c r="F47" i="43" s="1"/>
  <c r="G32" i="15"/>
  <c r="G34" i="15" s="1"/>
  <c r="I10" i="33"/>
  <c r="O10" i="33" s="1"/>
  <c r="I19" i="5"/>
  <c r="I12" i="5"/>
  <c r="J12" i="5" s="1"/>
  <c r="P12" i="5" s="1"/>
  <c r="E22" i="35" s="1"/>
  <c r="I6" i="33"/>
  <c r="O6" i="33" s="1"/>
  <c r="G47" i="43"/>
  <c r="I14" i="5" s="1"/>
  <c r="I14" i="33" s="1"/>
  <c r="O14" i="33" s="1"/>
  <c r="H12" i="35"/>
  <c r="I14" i="35"/>
  <c r="I32" i="35" s="1"/>
  <c r="I11" i="5"/>
  <c r="I11" i="33" s="1"/>
  <c r="O11" i="33" s="1"/>
  <c r="I7" i="5"/>
  <c r="J7" i="5" s="1"/>
  <c r="P7" i="5" s="1"/>
  <c r="E17" i="35" s="1"/>
  <c r="O8" i="5"/>
  <c r="I9" i="5"/>
  <c r="O9" i="5" s="1"/>
  <c r="G46" i="17"/>
  <c r="G48" i="17" s="1"/>
  <c r="N20" i="5"/>
  <c r="I5" i="33"/>
  <c r="O5" i="33" s="1"/>
  <c r="O5" i="5"/>
  <c r="I19" i="33"/>
  <c r="O19" i="33" s="1"/>
  <c r="O19" i="5"/>
  <c r="I12" i="33"/>
  <c r="O12" i="33" s="1"/>
  <c r="I17" i="33"/>
  <c r="O17" i="5"/>
  <c r="K9" i="33"/>
  <c r="K10" i="5"/>
  <c r="E10" i="33"/>
  <c r="K10" i="33" s="1"/>
  <c r="K8" i="5"/>
  <c r="E8" i="33"/>
  <c r="K8" i="33" s="1"/>
  <c r="J5" i="33"/>
  <c r="P5" i="33" s="1"/>
  <c r="K19" i="33"/>
  <c r="K6" i="5"/>
  <c r="E6" i="33"/>
  <c r="K6" i="33" s="1"/>
  <c r="J15" i="33"/>
  <c r="P15" i="33" s="1"/>
  <c r="G33" i="20"/>
  <c r="P13" i="35"/>
  <c r="Q13" i="35" s="1"/>
  <c r="G37" i="7"/>
  <c r="J6" i="5"/>
  <c r="P6" i="5" s="1"/>
  <c r="E16" i="35" s="1"/>
  <c r="J17" i="5"/>
  <c r="P17" i="5" s="1"/>
  <c r="E25" i="35" s="1"/>
  <c r="J15" i="5"/>
  <c r="P15" i="5" s="1"/>
  <c r="E24" i="35" s="1"/>
  <c r="J5" i="5"/>
  <c r="P5" i="5" s="1"/>
  <c r="E10" i="35" s="1"/>
  <c r="H10" i="35" s="1"/>
  <c r="K19" i="5"/>
  <c r="J19" i="5"/>
  <c r="P19" i="5" s="1"/>
  <c r="E26" i="35" s="1"/>
  <c r="O12" i="5" l="1"/>
  <c r="O14" i="5"/>
  <c r="G49" i="43"/>
  <c r="G51" i="43" s="1"/>
  <c r="H32" i="35"/>
  <c r="O7" i="5"/>
  <c r="I7" i="33"/>
  <c r="O7" i="33" s="1"/>
  <c r="L16" i="35"/>
  <c r="M16" i="35"/>
  <c r="K16" i="35"/>
  <c r="J16" i="35"/>
  <c r="M17" i="35"/>
  <c r="L17" i="35"/>
  <c r="K17" i="35"/>
  <c r="J17" i="35"/>
  <c r="M26" i="35"/>
  <c r="L26" i="35"/>
  <c r="K26" i="35"/>
  <c r="J26" i="35"/>
  <c r="M22" i="35"/>
  <c r="L22" i="35"/>
  <c r="K22" i="35"/>
  <c r="J22" i="35"/>
  <c r="M24" i="35"/>
  <c r="L24" i="35"/>
  <c r="K24" i="35"/>
  <c r="J24" i="35"/>
  <c r="M25" i="35"/>
  <c r="K25" i="35"/>
  <c r="J25" i="35"/>
  <c r="L25" i="35"/>
  <c r="J11" i="5"/>
  <c r="P11" i="5" s="1"/>
  <c r="E21" i="35" s="1"/>
  <c r="O11" i="5"/>
  <c r="J9" i="5"/>
  <c r="P9" i="5" s="1"/>
  <c r="E19" i="35" s="1"/>
  <c r="I9" i="33"/>
  <c r="O9" i="33" s="1"/>
  <c r="J11" i="33"/>
  <c r="P11" i="33" s="1"/>
  <c r="J12" i="33"/>
  <c r="P12" i="33" s="1"/>
  <c r="J19" i="33"/>
  <c r="P19" i="33" s="1"/>
  <c r="O17" i="33"/>
  <c r="J17" i="33"/>
  <c r="P17" i="33" s="1"/>
  <c r="J10" i="33"/>
  <c r="P10" i="33" s="1"/>
  <c r="J8" i="33"/>
  <c r="P8" i="33" s="1"/>
  <c r="J14" i="5"/>
  <c r="P14" i="5" s="1"/>
  <c r="E23" i="35" s="1"/>
  <c r="J14" i="33"/>
  <c r="P14" i="33" s="1"/>
  <c r="J6" i="33"/>
  <c r="P6" i="33" s="1"/>
  <c r="J10" i="5"/>
  <c r="P10" i="5" s="1"/>
  <c r="E20" i="35" s="1"/>
  <c r="P12" i="35"/>
  <c r="Q12" i="35" s="1"/>
  <c r="P14" i="35"/>
  <c r="Q14" i="35" s="1"/>
  <c r="J8" i="5"/>
  <c r="P8" i="5" s="1"/>
  <c r="E18" i="35" s="1"/>
  <c r="K20" i="5"/>
  <c r="J7" i="33" l="1"/>
  <c r="P7" i="33" s="1"/>
  <c r="K18" i="35"/>
  <c r="M18" i="35"/>
  <c r="L18" i="35"/>
  <c r="J18" i="35"/>
  <c r="M19" i="35"/>
  <c r="K19" i="35"/>
  <c r="L19" i="35"/>
  <c r="J19" i="35"/>
  <c r="M20" i="35"/>
  <c r="L20" i="35"/>
  <c r="K20" i="35"/>
  <c r="J20" i="35"/>
  <c r="M21" i="35"/>
  <c r="K21" i="35"/>
  <c r="J21" i="35"/>
  <c r="L21" i="35"/>
  <c r="M23" i="35"/>
  <c r="L23" i="35"/>
  <c r="K23" i="35"/>
  <c r="J23" i="35"/>
  <c r="J9" i="33"/>
  <c r="P9" i="33" s="1"/>
  <c r="P17" i="35"/>
  <c r="Q17" i="35" s="1"/>
  <c r="O20" i="5"/>
  <c r="P22" i="35"/>
  <c r="Q22" i="35" s="1"/>
  <c r="P24" i="35"/>
  <c r="Q24" i="35" s="1"/>
  <c r="P10" i="35"/>
  <c r="Q10" i="35" s="1"/>
  <c r="P20" i="5"/>
  <c r="P28" i="5" s="1"/>
  <c r="P26" i="35"/>
  <c r="Q26" i="35" s="1"/>
  <c r="P25" i="35"/>
  <c r="Q25" i="35" s="1"/>
  <c r="P16" i="35"/>
  <c r="Q16" i="35" s="1"/>
  <c r="P21" i="35" l="1"/>
  <c r="Q21" i="35" s="1"/>
  <c r="M32" i="35"/>
  <c r="L32" i="35"/>
  <c r="K32" i="35"/>
  <c r="J32" i="35"/>
  <c r="P19" i="35"/>
  <c r="Q19" i="35" s="1"/>
  <c r="E35" i="35"/>
  <c r="P28" i="33"/>
  <c r="E32" i="35"/>
  <c r="P20" i="35"/>
  <c r="Q20" i="35" s="1"/>
  <c r="P23" i="35"/>
  <c r="Q23" i="35" s="1"/>
  <c r="P23" i="5"/>
  <c r="P24" i="5" s="1"/>
  <c r="P22" i="5"/>
  <c r="P18" i="35"/>
  <c r="Q18" i="35" s="1"/>
  <c r="K35" i="35" l="1"/>
  <c r="H35" i="35"/>
  <c r="J35" i="35"/>
  <c r="M35" i="35"/>
  <c r="L35" i="35"/>
  <c r="P32" i="35"/>
  <c r="Q32" i="35" s="1"/>
  <c r="P35" i="35" l="1"/>
  <c r="Q35" i="35" s="1"/>
  <c r="P21" i="5"/>
  <c r="P25" i="5" s="1"/>
  <c r="E33" i="35" s="1"/>
  <c r="J21" i="33"/>
  <c r="P26" i="5" l="1"/>
  <c r="E34" i="35" l="1"/>
  <c r="P29" i="5"/>
  <c r="P31" i="5" s="1"/>
  <c r="I33" i="35"/>
  <c r="I34" i="35" s="1"/>
  <c r="J33" i="35"/>
  <c r="J34" i="35" s="1"/>
  <c r="H33" i="35"/>
  <c r="H34" i="35" s="1"/>
  <c r="K33" i="35"/>
  <c r="K34" i="35" s="1"/>
  <c r="L33" i="35"/>
  <c r="L34" i="35" s="1"/>
  <c r="M33" i="35"/>
  <c r="M34" i="35" s="1"/>
  <c r="N18" i="33"/>
  <c r="N16" i="33"/>
  <c r="N4" i="33"/>
  <c r="N13" i="33"/>
  <c r="J25" i="33"/>
  <c r="K13" i="33"/>
  <c r="L13" i="33"/>
  <c r="O13" i="33"/>
  <c r="M13" i="33"/>
  <c r="O18" i="33"/>
  <c r="O16" i="33"/>
  <c r="L4" i="33"/>
  <c r="K4" i="33"/>
  <c r="L16" i="33"/>
  <c r="O4" i="33"/>
  <c r="M4" i="33"/>
  <c r="L18" i="33"/>
  <c r="K16" i="33"/>
  <c r="M16" i="33"/>
  <c r="M18" i="33"/>
  <c r="K18" i="33"/>
  <c r="P33" i="35" l="1"/>
  <c r="Q33" i="35" s="1"/>
  <c r="P4" i="33"/>
  <c r="E36" i="35"/>
  <c r="P29" i="33"/>
  <c r="P18" i="33"/>
  <c r="N20" i="33"/>
  <c r="P13" i="33"/>
  <c r="P16" i="33"/>
  <c r="K20" i="33"/>
  <c r="M20" i="33"/>
  <c r="L20" i="33"/>
  <c r="P34" i="35"/>
  <c r="Q34" i="35" s="1"/>
  <c r="O20" i="33"/>
  <c r="M36" i="35" l="1"/>
  <c r="L36" i="35"/>
  <c r="J36" i="35"/>
  <c r="K36" i="35"/>
  <c r="H36" i="35"/>
  <c r="P20" i="33"/>
  <c r="P26" i="33" s="1"/>
  <c r="P36" i="35" l="1"/>
  <c r="Q36" i="35" s="1"/>
  <c r="J28" i="33"/>
  <c r="J29" i="33"/>
  <c r="P27" i="33" l="1"/>
  <c r="J27" i="33" l="1"/>
  <c r="P30" i="33"/>
  <c r="E37" i="35" l="1"/>
  <c r="F38" i="35" s="1"/>
  <c r="F39" i="35" s="1"/>
  <c r="P32" i="33"/>
  <c r="P34" i="33" s="1"/>
  <c r="P31" i="33"/>
  <c r="J31" i="33" s="1"/>
  <c r="M37" i="35" l="1"/>
  <c r="M38" i="35" s="1"/>
  <c r="L37" i="35"/>
  <c r="L38" i="35" s="1"/>
  <c r="K37" i="35"/>
  <c r="K38" i="35" s="1"/>
  <c r="J37" i="35"/>
  <c r="J38" i="35" s="1"/>
  <c r="I37" i="35"/>
  <c r="I38" i="35" s="1"/>
  <c r="H37" i="35"/>
  <c r="H38" i="35" s="1"/>
  <c r="O37" i="35"/>
  <c r="O38" i="35" s="1"/>
  <c r="G37" i="35"/>
  <c r="G38" i="35" s="1"/>
  <c r="N37" i="35"/>
  <c r="N38" i="35" s="1"/>
  <c r="G39" i="35" l="1"/>
  <c r="H39" i="35" s="1"/>
  <c r="I39" i="35" s="1"/>
  <c r="J39" i="35" s="1"/>
  <c r="K39" i="35" s="1"/>
  <c r="L39" i="35" s="1"/>
  <c r="M39" i="35" s="1"/>
  <c r="N39" i="35" s="1"/>
  <c r="O3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paez</author>
  </authors>
  <commentList>
    <comment ref="K43" authorId="0" shapeId="0" xr:uid="{0A57E8A7-643B-4EFD-8974-F0651A8D8C7C}">
      <text>
        <r>
          <rPr>
            <b/>
            <sz val="9"/>
            <color indexed="81"/>
            <rFont val="Tahoma"/>
            <family val="2"/>
          </rPr>
          <t>andrew paez:</t>
        </r>
        <r>
          <rPr>
            <sz val="9"/>
            <color indexed="81"/>
            <rFont val="Tahoma"/>
            <family val="2"/>
          </rPr>
          <t xml:space="preserve">
Ingrese el código del Mano de obra para cargar los datos de la pestaña de Mano de obra</t>
        </r>
      </text>
    </comment>
  </commentList>
</comments>
</file>

<file path=xl/sharedStrings.xml><?xml version="1.0" encoding="utf-8"?>
<sst xmlns="http://schemas.openxmlformats.org/spreadsheetml/2006/main" count="2258" uniqueCount="916">
  <si>
    <t>Usuarios Pivijay Magdalena</t>
  </si>
  <si>
    <t>No. Paneles</t>
  </si>
  <si>
    <t>Total Paneles</t>
  </si>
  <si>
    <t>Capacidad bateria Ah</t>
  </si>
  <si>
    <t>Controlador (A)</t>
  </si>
  <si>
    <t>Inversor (W)</t>
  </si>
  <si>
    <t>AVIANCA</t>
  </si>
  <si>
    <t>CARMEN DEL MAGDALENA</t>
  </si>
  <si>
    <t>CHINO BLAS</t>
  </si>
  <si>
    <t>GARRAPATA</t>
  </si>
  <si>
    <t>LAS CANOAS</t>
  </si>
  <si>
    <t>LAS PIEDRAS</t>
  </si>
  <si>
    <t>MEDIA LUNA</t>
  </si>
  <si>
    <t>PARAISO</t>
  </si>
  <si>
    <t>PIÑUELA</t>
  </si>
  <si>
    <t>PIVIJAY</t>
  </si>
  <si>
    <t>PLACITA</t>
  </si>
  <si>
    <t>PUEBLO NUEVO</t>
  </si>
  <si>
    <t>SALAMINITA</t>
  </si>
  <si>
    <t>SAN BASILIO</t>
  </si>
  <si>
    <t>VERANILLO</t>
  </si>
  <si>
    <t>CONCENTRADO 5KW</t>
  </si>
  <si>
    <t>TOTAL</t>
  </si>
  <si>
    <t>Elaboró: IANOS DAVID PEREZ DIAZ</t>
  </si>
  <si>
    <t>M.P. 25202-76535</t>
  </si>
  <si>
    <t>ESTA HOJA DEFINE LOS RENDIMIENTOS DE LAS DIFERENTES ACTIVIDADES Y ESTÁ ESTRECHAMIENTE LIGADO A LOS APUS</t>
  </si>
  <si>
    <t>REPLANTEO</t>
  </si>
  <si>
    <t>Defina los rendimientos del replanteo</t>
  </si>
  <si>
    <t>Descripción</t>
  </si>
  <si>
    <t xml:space="preserve">Unidad </t>
  </si>
  <si>
    <t>Rendimiento</t>
  </si>
  <si>
    <t>Usuarios levantados por día en el replanteo por persona</t>
  </si>
  <si>
    <t>Usuarios/día*persona</t>
  </si>
  <si>
    <t>Usuarios levantados por viaje a las veredas por persona</t>
  </si>
  <si>
    <t>Usuarios/viaje*persona</t>
  </si>
  <si>
    <t>INSTALACIÓN DE LOS SISFV</t>
  </si>
  <si>
    <t>Tiempo (días)</t>
  </si>
  <si>
    <t>Juego de estructuras con soportes instaladas por día</t>
  </si>
  <si>
    <t>Unidades/día</t>
  </si>
  <si>
    <t>Juego de 6 metros de excavacion</t>
  </si>
  <si>
    <t>Juego de paneles solares instaladas por día</t>
  </si>
  <si>
    <t>Juego de acometidas subterraneas por día</t>
  </si>
  <si>
    <t>Gabinetes instalados por día</t>
  </si>
  <si>
    <t>Reguladores instalados por día</t>
  </si>
  <si>
    <t>Inversores instalados por día</t>
  </si>
  <si>
    <t>Baterías instaladas por día</t>
  </si>
  <si>
    <t>Medidores prepago instalados por día</t>
  </si>
  <si>
    <t>Puestas a tierra instaladas por día</t>
  </si>
  <si>
    <t>Instalaciones internas instaladas por día</t>
  </si>
  <si>
    <t>TIEMPO TOTAL DE INSTALACIÓN SISFV (1 CUADRILLA)</t>
  </si>
  <si>
    <t>INSTALACIÓN DE LAS MICROREDES</t>
  </si>
  <si>
    <t>NANO 1</t>
  </si>
  <si>
    <t>NANO 2</t>
  </si>
  <si>
    <t>NANO 3</t>
  </si>
  <si>
    <t>MICRO 1</t>
  </si>
  <si>
    <t>MICRO 2</t>
  </si>
  <si>
    <t>MICRO 3</t>
  </si>
  <si>
    <t>Cantidad</t>
  </si>
  <si>
    <t>Tiempo total</t>
  </si>
  <si>
    <t>Paneles solares</t>
  </si>
  <si>
    <t>Acometida solar</t>
  </si>
  <si>
    <t>Caja combinadora FV</t>
  </si>
  <si>
    <t>Controlador MPPT</t>
  </si>
  <si>
    <t>Tablero principal en DC</t>
  </si>
  <si>
    <t>Banco de baterías</t>
  </si>
  <si>
    <t>Inversor</t>
  </si>
  <si>
    <t>Tablero de inversores</t>
  </si>
  <si>
    <t>Autotransformador</t>
  </si>
  <si>
    <t>Tablero de distribución principal en AC</t>
  </si>
  <si>
    <t>Canalizaciones internas del envolvente</t>
  </si>
  <si>
    <t>Global/día</t>
  </si>
  <si>
    <t>Sistema de monitoreo y comunicaciones</t>
  </si>
  <si>
    <t>Equipos auxiliares y de emergencia</t>
  </si>
  <si>
    <t>SPT Microred</t>
  </si>
  <si>
    <t>Acometida domiciliaria</t>
  </si>
  <si>
    <t>SPT Domiciliario</t>
  </si>
  <si>
    <t>Sistema de medición domiciliario</t>
  </si>
  <si>
    <t>Red de distribución</t>
  </si>
  <si>
    <t>m/dia</t>
  </si>
  <si>
    <t>Estación meteorologica</t>
  </si>
  <si>
    <t>Transmisión telemetria</t>
  </si>
  <si>
    <t>Servidores</t>
  </si>
  <si>
    <t>Excavacion manual</t>
  </si>
  <si>
    <t>m3/dia</t>
  </si>
  <si>
    <t>Relleno y compactación con material de sitio</t>
  </si>
  <si>
    <t>Cerramiento en malla eslabonada</t>
  </si>
  <si>
    <t>Concreto 2000 PSI</t>
  </si>
  <si>
    <t>Concreto 3000 PSI</t>
  </si>
  <si>
    <t>Acero de refuerzo 4200 kg</t>
  </si>
  <si>
    <t>kg/dia</t>
  </si>
  <si>
    <t>Envolvente</t>
  </si>
  <si>
    <t>Estructura soporte paneles</t>
  </si>
  <si>
    <t>TOTAL OBRAS ENVOLVENTE (SIN ENVOLVENTE)</t>
  </si>
  <si>
    <t>TOTAL REDES DE DISTRIBUCIÓN</t>
  </si>
  <si>
    <t>Estudio Mercado Equipo y Herramienta</t>
  </si>
  <si>
    <t>cod</t>
  </si>
  <si>
    <t>UNIDAD</t>
  </si>
  <si>
    <t>Tarifa / día</t>
  </si>
  <si>
    <t>Fuente</t>
  </si>
  <si>
    <t>Fecha</t>
  </si>
  <si>
    <t>Herramienta menor</t>
  </si>
  <si>
    <t>UN</t>
  </si>
  <si>
    <t>Propia</t>
  </si>
  <si>
    <t>GPS</t>
  </si>
  <si>
    <t xml:space="preserve">http://cachicamoweb.com/producto/alquiler-de-gps-garmin/ </t>
  </si>
  <si>
    <t>Molde para soldadura</t>
  </si>
  <si>
    <t xml:space="preserve">https://interelectricas.com.co/puesta-a-tierra/812-molde-grounding-varilla-a-cable-en-t-5-8-a-4.html </t>
  </si>
  <si>
    <t>Camara y comunicaciones</t>
  </si>
  <si>
    <t>DIA</t>
  </si>
  <si>
    <t>Herramienta para hoyar</t>
  </si>
  <si>
    <t>HORA</t>
  </si>
  <si>
    <t>Estudio Mercado Transporte</t>
  </si>
  <si>
    <t>cod,</t>
  </si>
  <si>
    <t>Tipo de Transporte2</t>
  </si>
  <si>
    <t>Origen</t>
  </si>
  <si>
    <t>Destino</t>
  </si>
  <si>
    <t>Valor / Persona</t>
  </si>
  <si>
    <t>Valor / Kg</t>
  </si>
  <si>
    <t>Pasajeros aéreo</t>
  </si>
  <si>
    <t>Bogotá</t>
  </si>
  <si>
    <t>Barranquilla</t>
  </si>
  <si>
    <t>Pasaje terrestre</t>
  </si>
  <si>
    <t>Pivijay</t>
  </si>
  <si>
    <t>Carga terrestre desde Barranquilla</t>
  </si>
  <si>
    <t>5.1</t>
  </si>
  <si>
    <t>Carga terrestre desde municipios a veredas</t>
  </si>
  <si>
    <t>Cabecera Urbana Pivijay</t>
  </si>
  <si>
    <t>Veredas</t>
  </si>
  <si>
    <t>5.2</t>
  </si>
  <si>
    <t>Carga terrestre semoviente</t>
  </si>
  <si>
    <t>Carretera, trocha mas cercana</t>
  </si>
  <si>
    <t>usuario</t>
  </si>
  <si>
    <t>Carga terrestre desde Barranquilla hasta Usuario, incluye cargues, descargues, cruces de río, transporte semoviente, transporte en vehículo de carga pesada y cualquier otro tranposte.</t>
  </si>
  <si>
    <t xml:space="preserve">Carga Material Cantera hasta Veredas </t>
  </si>
  <si>
    <t>Cantera</t>
  </si>
  <si>
    <t>LISTADO DE TRANSPORTE</t>
  </si>
  <si>
    <t>#</t>
  </si>
  <si>
    <t>Código</t>
  </si>
  <si>
    <t>unidad</t>
  </si>
  <si>
    <t>Insumo</t>
  </si>
  <si>
    <t>Precio ($ COP)</t>
  </si>
  <si>
    <t>T0010400</t>
  </si>
  <si>
    <t>m3-km</t>
  </si>
  <si>
    <t>Transporte de agregados</t>
  </si>
  <si>
    <t>T0010004</t>
  </si>
  <si>
    <t>Transporte de arena</t>
  </si>
  <si>
    <t>T0010009</t>
  </si>
  <si>
    <t>Transporte de concreto</t>
  </si>
  <si>
    <t>T0010010</t>
  </si>
  <si>
    <t>Transporte de material de afirmado</t>
  </si>
  <si>
    <t>T0010020</t>
  </si>
  <si>
    <t>Transporte de material de base</t>
  </si>
  <si>
    <t>T0010062</t>
  </si>
  <si>
    <t>Transporte de material de relleno</t>
  </si>
  <si>
    <t>T0010030</t>
  </si>
  <si>
    <t>Transporte de material de sub-base</t>
  </si>
  <si>
    <t>PROMEDIO *(1+IPC)</t>
  </si>
  <si>
    <t>distancia a cantera</t>
  </si>
  <si>
    <t>Densidad promedio de material cantera</t>
  </si>
  <si>
    <t>valor de transporte kg</t>
  </si>
  <si>
    <t>distancia (Km)</t>
  </si>
  <si>
    <t>VALOR  M3-Km</t>
  </si>
  <si>
    <t>DISTANCIA PROMEDIO A VEREDAS DESDE PIVIJAY</t>
  </si>
  <si>
    <t>Densidad promedio de m3</t>
  </si>
  <si>
    <t>500 kg/m3</t>
  </si>
  <si>
    <t xml:space="preserve">Valor Transporte por kg </t>
  </si>
  <si>
    <t>TRANSPORTE MULAR</t>
  </si>
  <si>
    <t xml:space="preserve"> Peso maximo que carga una mula (kg)</t>
  </si>
  <si>
    <t>VALOR DIA MULA</t>
  </si>
  <si>
    <t>Rendimiento diario de transporte mular (km/día)</t>
  </si>
  <si>
    <t>Costo Transporte en Mula por kg/km</t>
  </si>
  <si>
    <t xml:space="preserve">Distancia promedio transporte semoviente </t>
  </si>
  <si>
    <t>Distancia (km)</t>
  </si>
  <si>
    <t>Usuarios PIVIJAY</t>
  </si>
  <si>
    <t>Pivijay carretera</t>
  </si>
  <si>
    <t>carretera usuarios</t>
  </si>
  <si>
    <t>VAZQUEZ</t>
  </si>
  <si>
    <t xml:space="preserve"> Promedio</t>
  </si>
  <si>
    <t>Distancia promedio habilitada para tránsito en la vía</t>
  </si>
  <si>
    <t>Distancia promedio desde la vía hasta el usuario (transporte semoviente)</t>
  </si>
  <si>
    <t>SMLV</t>
  </si>
  <si>
    <t>Año 2025</t>
  </si>
  <si>
    <t>Auxilio de transporte</t>
  </si>
  <si>
    <t>Margen de valores</t>
  </si>
  <si>
    <t>Base días hábiles x mes</t>
  </si>
  <si>
    <t>Estudio Mercado Mano de Obra (+10% de margen)(auxilio de transporte)</t>
  </si>
  <si>
    <t>Cargo</t>
  </si>
  <si>
    <t>Categoría</t>
  </si>
  <si>
    <t>Valor mensual base</t>
  </si>
  <si>
    <t>Margen positivo</t>
  </si>
  <si>
    <t>Valor mensual proyectado 2026</t>
  </si>
  <si>
    <t>Valor Jornal</t>
  </si>
  <si>
    <t>&gt;SMMLV</t>
  </si>
  <si>
    <t>Electricista</t>
  </si>
  <si>
    <t>Obra</t>
  </si>
  <si>
    <t>https://www.computrabajo.com.co/salarios/electricista</t>
  </si>
  <si>
    <t>Ayudante</t>
  </si>
  <si>
    <t>https://www.salariominimocolombia.net/</t>
  </si>
  <si>
    <t>Topografo</t>
  </si>
  <si>
    <t>https://www.computrabajo.com.co/salarios/topografoa</t>
  </si>
  <si>
    <t>Oficial de obra</t>
  </si>
  <si>
    <t>https://www.computrabajo.com.co/salarios/oficial-de-obra</t>
  </si>
  <si>
    <t>Ingeniero de sistemas</t>
  </si>
  <si>
    <t>Oficina</t>
  </si>
  <si>
    <t>https://www.computrabajo.com.co/salarios/ingenieroa-de-sistemas</t>
  </si>
  <si>
    <t>Director de Obra</t>
  </si>
  <si>
    <t>https://www.computrabajo.com.co/salarios/directora-de-proyectos</t>
  </si>
  <si>
    <t>Ingeniero Residente</t>
  </si>
  <si>
    <t>https://www.computrabajo.com.co/salarios/ingeniero-electricista</t>
  </si>
  <si>
    <t>Gerente</t>
  </si>
  <si>
    <t>https://www.computrabajo.com.co/salarios/gerente-general</t>
  </si>
  <si>
    <t>Contador</t>
  </si>
  <si>
    <t>https://www.computrabajo.com.co/salarios/contadora-publico</t>
  </si>
  <si>
    <t>Asesor Jurídico</t>
  </si>
  <si>
    <t>https://www.computrabajo.com.co/salarios/abogadoa</t>
  </si>
  <si>
    <t>Ingeniero Ambiental</t>
  </si>
  <si>
    <t>https://www.computrabajo.com.co/salarios/ingeniero-ambiental</t>
  </si>
  <si>
    <t>Profesional SGSST</t>
  </si>
  <si>
    <t>https://www.computrabajo.com.co/salarios/siso</t>
  </si>
  <si>
    <t>Ingeniero Civil</t>
  </si>
  <si>
    <t>https://www.computrabajo.com.co/salarios/ingeniero-civil</t>
  </si>
  <si>
    <t>Trabajador Social</t>
  </si>
  <si>
    <t>https://www.computrabajo.com.co/salarios/trabajador-social</t>
  </si>
  <si>
    <t>Servicios Generales</t>
  </si>
  <si>
    <t>Almacenista</t>
  </si>
  <si>
    <t>Seguridad privada</t>
  </si>
  <si>
    <t>https://www.computrabajo.com.co/salarios/seguridad-privada</t>
  </si>
  <si>
    <t>Director de interventoría</t>
  </si>
  <si>
    <t>Profesional especialista en SISFV</t>
  </si>
  <si>
    <t>https://www.computrabajo.com.co/salarios/ingeniero-especialista</t>
  </si>
  <si>
    <t>Supervisor de Obra</t>
  </si>
  <si>
    <t>obra</t>
  </si>
  <si>
    <t>https://co.computrabajo.com/salarios/supervisora-de-obra</t>
  </si>
  <si>
    <t>Soldador</t>
  </si>
  <si>
    <t>https://co.computrabajo.com/salarios/soldador</t>
  </si>
  <si>
    <t>FACTOR PRESTACIONAL</t>
  </si>
  <si>
    <t>A  -  DESCANSOS REMUNERADOS</t>
  </si>
  <si>
    <t xml:space="preserve">        1.  VACACIONES</t>
  </si>
  <si>
    <t xml:space="preserve">        TOTAL DESCANSOS REMUNERADOS</t>
  </si>
  <si>
    <t xml:space="preserve">B  -  PRESTACIONES LEGALES </t>
  </si>
  <si>
    <t xml:space="preserve">        1.  CESANTIAS</t>
  </si>
  <si>
    <t xml:space="preserve">        2.  INTERESES CESANTIAS</t>
  </si>
  <si>
    <t xml:space="preserve">        3.  PRIMA DE SERVICIOS</t>
  </si>
  <si>
    <t xml:space="preserve">        TOTAL PRESTACIONES LEGALES</t>
  </si>
  <si>
    <t>C  -  APORTES PATRONALES</t>
  </si>
  <si>
    <t xml:space="preserve">        1.  SALUD</t>
  </si>
  <si>
    <t xml:space="preserve">        2.  PENSIÓN</t>
  </si>
  <si>
    <t xml:space="preserve">        3.  RIESGOS PROFESIONALES (NIVEL IV)</t>
  </si>
  <si>
    <t xml:space="preserve">        4.  CAJA DE COMPENSACIÓN</t>
  </si>
  <si>
    <t xml:space="preserve">        TOTAL APORTES PATRONALES</t>
  </si>
  <si>
    <t>D  -  OTROS COSTOS PRESTACIONALES</t>
  </si>
  <si>
    <t xml:space="preserve">        1.  DOTACION</t>
  </si>
  <si>
    <t xml:space="preserve">        2.  OTROS (SEGURO, AUXILIOS, INCAPACIDADES)</t>
  </si>
  <si>
    <t xml:space="preserve">        TOTAL OTROS COSTOS PRESTACIONALES</t>
  </si>
  <si>
    <t>E  -  FACTOR PRESTACIONAL</t>
  </si>
  <si>
    <t xml:space="preserve">        1.  JORNAL</t>
  </si>
  <si>
    <t xml:space="preserve">        2.  DESCANSOS REMUNERADOS</t>
  </si>
  <si>
    <t xml:space="preserve">        3.  PRESTACIONES LEGALES</t>
  </si>
  <si>
    <t xml:space="preserve">        4.  APORTES PATRONALES</t>
  </si>
  <si>
    <t xml:space="preserve">        5.  OTROS COSTOS PRESTACIONALES</t>
  </si>
  <si>
    <t xml:space="preserve">        FACTOR PRESTACIONAL</t>
  </si>
  <si>
    <t>día</t>
  </si>
  <si>
    <t>DESCRIPCIÓN</t>
  </si>
  <si>
    <t>IMPLEMENTACIÓN DE SOLUCIONES ENERGÉTICAS SOSTENIBLES CON FUENTES NO CONVENCIONALES, PARA LAS COMUNIDADES RURALES 
DEL MUNICIPIO DE PIVIJAY, DEPARTAMENTO MAGDALENA.</t>
  </si>
  <si>
    <t>IMPLEMENTACIÓN PLAN DE GESTIÓN SOCIAL</t>
  </si>
  <si>
    <t>MATERIALES</t>
  </si>
  <si>
    <t>USUARIOS</t>
  </si>
  <si>
    <t>Ítem</t>
  </si>
  <si>
    <t>Unidad</t>
  </si>
  <si>
    <t>Vr. Unitario</t>
  </si>
  <si>
    <t>Vr. Parcial</t>
  </si>
  <si>
    <t>valor general de la actividad</t>
  </si>
  <si>
    <t xml:space="preserve">Programa - Control social / Participación ciudadana  </t>
  </si>
  <si>
    <r>
      <t xml:space="preserve">Convocatoria  masivas a cada una de las veredas. (El plan será utilizado a lo largo de las convocatorias que requiera el proyecto).
</t>
    </r>
    <r>
      <rPr>
        <b/>
        <sz val="11"/>
        <color theme="1"/>
        <rFont val="Calibri"/>
        <family val="2"/>
        <scheme val="minor"/>
      </rPr>
      <t>*Nota:</t>
    </r>
    <r>
      <rPr>
        <sz val="11"/>
        <color theme="1"/>
        <rFont val="Calibri"/>
        <family val="2"/>
        <scheme val="minor"/>
      </rPr>
      <t xml:space="preserve"> la convocatoria se deberá realizar para la totalidad de actividades del programa </t>
    </r>
    <r>
      <rPr>
        <i/>
        <sz val="11"/>
        <color theme="1"/>
        <rFont val="Calibri"/>
        <family val="2"/>
        <scheme val="minor"/>
      </rPr>
      <t xml:space="preserve"> Control social / Participación ciudadana</t>
    </r>
    <r>
      <rPr>
        <sz val="11"/>
        <color theme="1"/>
        <rFont val="Calibri"/>
        <family val="2"/>
        <scheme val="minor"/>
      </rPr>
      <t xml:space="preserve">  y </t>
    </r>
    <r>
      <rPr>
        <i/>
        <sz val="11"/>
        <color theme="1"/>
        <rFont val="Calibri"/>
        <family val="2"/>
        <scheme val="minor"/>
      </rPr>
      <t xml:space="preserve">capacitaciones transversales, </t>
    </r>
    <r>
      <rPr>
        <sz val="11"/>
        <color theme="1"/>
        <rFont val="Calibri"/>
        <family val="2"/>
        <scheme val="minor"/>
      </rPr>
      <t>de acuerdo con el cronograma definido.</t>
    </r>
  </si>
  <si>
    <t xml:space="preserve">Mes </t>
  </si>
  <si>
    <t xml:space="preserve">Convocatoria por medios interpersonales: persona para recorrer cada una de las veredas que contempla  el municipio. </t>
  </si>
  <si>
    <t>Día</t>
  </si>
  <si>
    <r>
      <t xml:space="preserve">Gastos de transporte de los profesionales que realizarán las diferentes capacitaciones y/o talleres.
</t>
    </r>
    <r>
      <rPr>
        <b/>
        <sz val="11"/>
        <color rgb="FF000000"/>
        <rFont val="Calibri"/>
        <family val="2"/>
        <scheme val="minor"/>
      </rPr>
      <t>*Nota:</t>
    </r>
    <r>
      <rPr>
        <sz val="11"/>
        <color rgb="FF000000"/>
        <rFont val="Calibri"/>
        <family val="2"/>
        <scheme val="minor"/>
      </rPr>
      <t xml:space="preserve"> los valores están contemplados dentro del presupuesto general.</t>
    </r>
  </si>
  <si>
    <t>Ida y regreso</t>
  </si>
  <si>
    <r>
      <t xml:space="preserve">Gastos de honorarios de  los profesionales que realizarán las diferentes capacitaciones y/o talleres.
</t>
    </r>
    <r>
      <rPr>
        <b/>
        <sz val="11"/>
        <color theme="1"/>
        <rFont val="Calibri"/>
        <family val="2"/>
        <scheme val="minor"/>
      </rPr>
      <t>*Nota:</t>
    </r>
    <r>
      <rPr>
        <sz val="11"/>
        <color theme="1"/>
        <rFont val="Calibri"/>
        <family val="2"/>
        <scheme val="minor"/>
      </rPr>
      <t xml:space="preserve"> los valores están contemplados dentro del presupuesto general.</t>
    </r>
  </si>
  <si>
    <t>Actividad 1: Socialización inicial del proyecto:</t>
  </si>
  <si>
    <r>
      <t xml:space="preserve">Refrigerios para la jornada de socialización se estima la asistencia de:  representantes  por ente territorial (02), representantes del operador de red (02),  representantes de los entes de control (02),   representantes de ASOJUNTAS (02) y  representatividad del 50% de los usuarios (184).
</t>
    </r>
    <r>
      <rPr>
        <b/>
        <sz val="11"/>
        <color theme="1"/>
        <rFont val="Calibri"/>
        <family val="2"/>
        <scheme val="minor"/>
      </rPr>
      <t>*Nota:</t>
    </r>
    <r>
      <rPr>
        <sz val="11"/>
        <color theme="1"/>
        <rFont val="Calibri"/>
        <family val="2"/>
        <scheme val="minor"/>
      </rPr>
      <t xml:space="preserve"> todos los  refrigerios mencionados en las diferentes actividades de programa 1 y 2, deberá contener como mínimo cuatro productos: 1líquido, 2 alimentos sólidos de sal y 1alimento solido de azúcar.</t>
    </r>
  </si>
  <si>
    <t>Und</t>
  </si>
  <si>
    <t>Almuerzos para la jornada de socialización: se estima la asistencia descrita en los refrigerios.</t>
  </si>
  <si>
    <t>Gastos de transporte para las comunidades: se estima la asistencia del 50% de los usuarios (184).</t>
  </si>
  <si>
    <t>Día  (ida y vuelta)</t>
  </si>
  <si>
    <t>Alquiler mobiliario, salón, sonido, computador, ventilador y  video Beam.</t>
  </si>
  <si>
    <t>Punto ecológico (Para disposición  de materiales de desechos de las actividades del programa  Control social / Participación ciudadana  y capacitaciones transversales).</t>
  </si>
  <si>
    <t>Actividad 2: Conformación del Comité de Acompañamiento Comunitario  (CAC) - Capacitación</t>
  </si>
  <si>
    <t>Refrigerios y almuerzo (estos gastos solo es para los miembros del CAC, se estima un promedio de representatividad de 09 personas.</t>
  </si>
  <si>
    <t>Gastos de transporte para los integrantes del CAC para desplazarse al casco urbanos a inscribir el CAC y ser capacitados por personería municipal, (se estima un promedio de 09 personas que estarán un día realizando estas actividades)</t>
  </si>
  <si>
    <t>Actividad 3: Reunión de seguimiento (Se propone mínimo 1 en la ejecución del contrato)</t>
  </si>
  <si>
    <t>Refrigerios reunión de seguimiento: se estima la participación de dos representantes por usuario.</t>
  </si>
  <si>
    <t xml:space="preserve">Personal local que acompaña al profesional que presentará  los avances del contrato, en los desplazamientos que se realicen por cada vereda. </t>
  </si>
  <si>
    <r>
      <t xml:space="preserve">Gastos de transporte y honorarios de los profesionales que presentarán la reunión de seguimiento.
</t>
    </r>
    <r>
      <rPr>
        <b/>
        <sz val="11"/>
        <color rgb="FF000000"/>
        <rFont val="Calibri"/>
        <family val="2"/>
        <scheme val="minor"/>
      </rPr>
      <t>*Nota:</t>
    </r>
    <r>
      <rPr>
        <sz val="11"/>
        <color rgb="FF000000"/>
        <rFont val="Calibri"/>
        <family val="2"/>
        <scheme val="minor"/>
      </rPr>
      <t xml:space="preserve"> los valores están contemplados dentro del presupuesto general.</t>
    </r>
  </si>
  <si>
    <t>Actividad 4: Evento de entrega formal de la solución energética, feria comercial, productiva, muestra cultural o gastronómica</t>
  </si>
  <si>
    <t>Refrigerios para la jornada de socialización se estima la asistencia de:  representantes  por ente territorial (02), representantes del operador de red (02),  representantes de los entes de control (02),   representantes de ASOJUNTAS (02) y  representatividad del 50% de los usuarios (184).</t>
  </si>
  <si>
    <t>Almuerzos para la jornada de evento de cierre: se estima la asistencia descrita en los refrigerios.</t>
  </si>
  <si>
    <t>Gastos de transporte para las comunidades:  se estima la asistencia del 50% de los usuarios (184).</t>
  </si>
  <si>
    <r>
      <t xml:space="preserve">Gastos de transporte y honorarios de los profesionales que harán la entrega formal del proyecto en el evento final.
</t>
    </r>
    <r>
      <rPr>
        <b/>
        <sz val="11"/>
        <color rgb="FF000000"/>
        <rFont val="Calibri"/>
        <family val="2"/>
        <scheme val="minor"/>
      </rPr>
      <t>*Nota:</t>
    </r>
    <r>
      <rPr>
        <sz val="11"/>
        <color rgb="FF000000"/>
        <rFont val="Calibri"/>
        <family val="2"/>
        <scheme val="minor"/>
      </rPr>
      <t xml:space="preserve"> los valores están contemplados dentro del presupuesto general.</t>
    </r>
  </si>
  <si>
    <t>Programa -  Capacitaciones transversales</t>
  </si>
  <si>
    <t>Personal local que acompaña al profesional que presentará  los avances del contrato, en los desplazamientos que se realicen por cada vereda.</t>
  </si>
  <si>
    <t xml:space="preserve"> Actividad 1. Capacitaciones por grupos poblacionales: </t>
  </si>
  <si>
    <t>Mujeres, paz y energía</t>
  </si>
  <si>
    <t>Refrigerios: se estima asistencia de las mujeres que son usuarias principales  del proyecto (78) y las mujeres que habitan en las viviendas  (148).
Duración: 3 días</t>
  </si>
  <si>
    <t xml:space="preserve">Und </t>
  </si>
  <si>
    <t>Gastos de materiales (resma, colores, esferos, papel periódico, cartulina, cinta, marcadores  y fichas bibliográficas)</t>
  </si>
  <si>
    <t>Centinelas de la energía</t>
  </si>
  <si>
    <t>Refrigerios: se estima asistencia de un niño, niña, adolescente o  joven  por vivienda a beneficiar.
Duración: 3 días</t>
  </si>
  <si>
    <t>Cartillas centinelas de la energía</t>
  </si>
  <si>
    <t>Gastos de materiales didácticos para muestra física.</t>
  </si>
  <si>
    <t>Proyectos productivos y/o emprendimientos con el uso eficiente de la energía</t>
  </si>
  <si>
    <t>Refrigerios: se estima asistencia de una persona por usuario beneficiado. 
Duración: 4 días</t>
  </si>
  <si>
    <t>Gastos de materiales didácticos para la capacitación.</t>
  </si>
  <si>
    <t>Actividad 2: Sostenibilidad y apropiación de la infraestructura (Educación y sensibilización ambiental, uso racional de la energía y cultura de pago y manual de operaciones básicas)</t>
  </si>
  <si>
    <t>Refrigerios: se estima asistencia de una persona por usuario beneficiado y dos representantes de ASOJUNTAS.
Duración: 4 días</t>
  </si>
  <si>
    <t>Acrílicos (contiene información de manejo de las soluciones individuales medidas: 20x30 cm).</t>
  </si>
  <si>
    <t>Impresión a escala de la solución energética SISFV.</t>
  </si>
  <si>
    <t xml:space="preserve">Actividad 3: Escuela de Formación para la Transición Energética Justa –Escuela TEJ </t>
  </si>
  <si>
    <t>Momento 1 - Diálogo social e inicio montaje solución energética</t>
  </si>
  <si>
    <t>Refrigerios: se estiman asistencia del 100% de los beneficiarios y dos representante de ASOJUNTAS.</t>
  </si>
  <si>
    <t>Materiales  (Papel periódico, marcadores borrables, hojas blancas, cartulina, colores, dado, cinta, post-its, pinceles, alambre, esferos, fichas bibliográficas,  etc)</t>
  </si>
  <si>
    <t>Plotter con esquema de la cadena de la energía.</t>
  </si>
  <si>
    <t>Tarjetones con los momentos de la cadena de la energía.(Producción, Transformación,
Transmisión, Distribución y Comercialización)</t>
  </si>
  <si>
    <t>Placa de madera, arcilla u otro material</t>
  </si>
  <si>
    <t>Temperas en aceite.</t>
  </si>
  <si>
    <t>Trjetones con preguntas problematizadoras</t>
  </si>
  <si>
    <t>Caja soluciones: Piezas gráficas con la norma</t>
  </si>
  <si>
    <t>Momento 2 - Diálogo social de monitoreo y sostenibilidad</t>
  </si>
  <si>
    <t>Refrigerios: se estiman asistencia del 100% de los beneficiarios y dos representante de  ASOJUNTAS.</t>
  </si>
  <si>
    <t>Gastos de papelería</t>
  </si>
  <si>
    <t>Imagen de referencia de rompecabezas, tamaño 1/2 pliego.</t>
  </si>
  <si>
    <t>Ploter Pacto por la JET</t>
  </si>
  <si>
    <t>VALOR POR USUARIO</t>
  </si>
  <si>
    <t>gl</t>
  </si>
  <si>
    <t>MEMORIA DE CANTIDADES CIVILES</t>
  </si>
  <si>
    <t>SISTEMA INDIVIDUAL SOLAR FOTOVOLTAICO (3 PANELES)</t>
  </si>
  <si>
    <t xml:space="preserve">Excavación </t>
  </si>
  <si>
    <t>B (m)=</t>
  </si>
  <si>
    <t>H (m)=</t>
  </si>
  <si>
    <r>
      <t>Vol. (m</t>
    </r>
    <r>
      <rPr>
        <i/>
        <vertAlign val="superscript"/>
        <sz val="10"/>
        <rFont val="Arial"/>
        <family val="2"/>
      </rPr>
      <t>3</t>
    </r>
    <r>
      <rPr>
        <i/>
        <sz val="10"/>
        <rFont val="Arial"/>
        <family val="2"/>
      </rPr>
      <t>)=</t>
    </r>
  </si>
  <si>
    <t>solado</t>
  </si>
  <si>
    <t>Cemento (kg)=</t>
  </si>
  <si>
    <t>*Dosificación de concreto 16 MPa</t>
  </si>
  <si>
    <r>
      <t>Agregado fino (m</t>
    </r>
    <r>
      <rPr>
        <vertAlign val="superscript"/>
        <sz val="9"/>
        <rFont val="Arial"/>
        <family val="2"/>
      </rPr>
      <t>3</t>
    </r>
    <r>
      <rPr>
        <sz val="9"/>
        <rFont val="Arial"/>
        <family val="2"/>
      </rPr>
      <t>)=</t>
    </r>
  </si>
  <si>
    <r>
      <t>Agregado grueso (m</t>
    </r>
    <r>
      <rPr>
        <vertAlign val="superscript"/>
        <sz val="9"/>
        <rFont val="Arial"/>
        <family val="2"/>
      </rPr>
      <t>3</t>
    </r>
    <r>
      <rPr>
        <sz val="9"/>
        <rFont val="Arial"/>
        <family val="2"/>
      </rPr>
      <t>)=</t>
    </r>
  </si>
  <si>
    <t>Agua (L)=</t>
  </si>
  <si>
    <t>Cimentación</t>
  </si>
  <si>
    <t>Total</t>
  </si>
  <si>
    <t>*Dosificación de concreto 21 MPa</t>
  </si>
  <si>
    <t>Refuerzo</t>
  </si>
  <si>
    <t>Diametro</t>
  </si>
  <si>
    <t>Peso</t>
  </si>
  <si>
    <t>Malla electrosoldada 150 * 150 *5 mm</t>
  </si>
  <si>
    <t>Area</t>
  </si>
  <si>
    <t xml:space="preserve">total agregados </t>
  </si>
  <si>
    <t xml:space="preserve">Estructura de soporte </t>
  </si>
  <si>
    <t>L (m)=</t>
  </si>
  <si>
    <t>Ángulo galvanizado 2” X 2” X 1/4” 
ASTM A572, Gr. 50</t>
  </si>
  <si>
    <t>Ángulo galvanizado 1 ½” X 1 ½” X 1/8” 
ASTM A572, Gr. 50</t>
  </si>
  <si>
    <t>Ángulo galvanizado 2 ½” X 2 ½” X 3/16”
ASTM A572, Gr. 50</t>
  </si>
  <si>
    <t>Ángulo galvanizado 2 ½” X 2 ½” X 3/16”
ASTM A572, Gr. 51</t>
  </si>
  <si>
    <t>Platina galvanizada 200x50, e=1/4"
ASTM A36, Fy=250 MPa</t>
  </si>
  <si>
    <t>Platina galvanizada 300x300, e=9,53mm
ASTM A36, Fy=250 MPa</t>
  </si>
  <si>
    <t>Pernos Galvanizados ASTM A325 de 3/8" , L 8"</t>
  </si>
  <si>
    <t>Pernos Galvanizados ASTM A325 de ½” x 1 ½”</t>
  </si>
  <si>
    <t>ITEM</t>
  </si>
  <si>
    <t>DESCRIPCION</t>
  </si>
  <si>
    <t>CANTIDAD</t>
  </si>
  <si>
    <t>VALOR UNITARIO</t>
  </si>
  <si>
    <t>VALOR PARCIAL</t>
  </si>
  <si>
    <t>EQ. &amp; HERRAM.</t>
  </si>
  <si>
    <t>TRANSPORTE</t>
  </si>
  <si>
    <t>MOC</t>
  </si>
  <si>
    <t>MONC</t>
  </si>
  <si>
    <t>VR. UNITARIO</t>
  </si>
  <si>
    <t>VR. PARCIAL</t>
  </si>
  <si>
    <t>Implementar y poner en funcionamiento equipos para la operación fotovoltaica</t>
  </si>
  <si>
    <t>TOTAL COSTOS DIRECTOS +  COSTOS INDIRECTOS</t>
  </si>
  <si>
    <t>ADMINISTRACIÓN</t>
  </si>
  <si>
    <t>IMPREVISTOS</t>
  </si>
  <si>
    <t>UTILIDAD</t>
  </si>
  <si>
    <t>IVA DE UTILIDAD</t>
  </si>
  <si>
    <t>TOTAL COSTOS INDIRECTOS (AIU)</t>
  </si>
  <si>
    <t>VALOR CONSTRUCCIÓN (COSTOS DIRECTOS +  COSTOS INDIRECTOS)</t>
  </si>
  <si>
    <t>REALIZAR INTERVENTORÍA INTEGRAL (% CON RESPECTO A LOS COSTOS DIRECTOS + COSTOS INDIRECTOS)</t>
  </si>
  <si>
    <t>REALIZAR GESTION SOCIAL (% CON RESPECTO A LOS COSTOS DIRECTOS)</t>
  </si>
  <si>
    <t>IMPLEMENTAR PLAN DE MANEJO AMBIENTAL (% CON RESPECTO A LOS COSTOS DIRECTOS)</t>
  </si>
  <si>
    <t>COSTO TOTAL PROYECTO SIN ADMINISTRACIÓN DELEGADA</t>
  </si>
  <si>
    <t>REALIZAR ADMINISTRACIÓN DELEGADA DEL PROYECTO</t>
  </si>
  <si>
    <t>COSTO TOTAL PROYECTO</t>
  </si>
  <si>
    <t>No. USUARIOS I.E.</t>
  </si>
  <si>
    <t>VALOR COSTO / USUARIO</t>
  </si>
  <si>
    <t xml:space="preserve">IMPLEMENTACIÓN DE SOLUCIONES ENERGÉTICAS SOSTENIBLES CON FUENTES NO CONVENCIONALES, PARA LAS COMUNIDADES RURALES DEL MUNICIPIO DE PIVIJAY, DEPARTAMENTO MAGDALENA.                                                                                                                                                                                                                          </t>
  </si>
  <si>
    <t>1.1</t>
  </si>
  <si>
    <t>Realizar Replanteo de obra</t>
  </si>
  <si>
    <t>1.2</t>
  </si>
  <si>
    <t>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</si>
  <si>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1.3</t>
  </si>
  <si>
    <t>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t>
  </si>
  <si>
    <t>1.4</t>
  </si>
  <si>
    <t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</si>
  <si>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1.5</t>
  </si>
  <si>
    <t>Suministro e instalación de regulador (controlador) de carga, 50A/48V MPPT Solar, eficiencia mínima del 96%, debe ser apto para cargar baterías tipo LiFePO4. Con todas las protecciones eléctricas necesarias en caso de sobrecarga, cortocircuito, advertencia de alto voltaje</t>
  </si>
  <si>
    <t>1.6</t>
  </si>
  <si>
    <t xml:space="preserve">Suministro e Instalación de batería de ión - litio tipo fosfato de hierro (LiFePO4) de ciclo profundo de 120 Ah – 51.2 VDC - ≥6000 ciclos hasta el 80% DOD, con BMS integrado </t>
  </si>
  <si>
    <t>1.7</t>
  </si>
  <si>
    <t>Suministro e instalación de inversor tipo "off-grid" onda senoidal pura, potencia de 2000 W, 48 VDC entrada - 120 VAC salida, f=60 Hz, debe garantizar protección y desconexión por bajo voltaje en la batería, protección contra sobrecarga</t>
  </si>
  <si>
    <t>1.8</t>
  </si>
  <si>
    <t>Sistema de puesta a tierra con una varilla de cobre 5/8" x 2,4m, bajante en cable de cobre desnudo temple duro o verde Nº 6, con soldadura exotérmica y tratamiento de suelos, caja de inspección de 30 x 30 cm.</t>
  </si>
  <si>
    <t>Estructura de soporte para paneles solares</t>
  </si>
  <si>
    <t>2.1</t>
  </si>
  <si>
    <t>Suministro e instalación de poste reforzado en fibra de vidrio de h=4m, 510kgf. contiene: tapa en la cima y base, soporte metálico galvanizado fijo para 3 paneles solares y cimentación en concreto según planos (incluye excavación).</t>
  </si>
  <si>
    <t>2.2</t>
  </si>
  <si>
    <t>Excavación de zanja para acometida principal en zona verde, de 20 cm de ancho x 60 cm de profundidad y hasta 6 m de longitud. Se utilizará para relleno, el mismo material excavado.</t>
  </si>
  <si>
    <t>Implementar Sistema de medición y gestión de energía</t>
  </si>
  <si>
    <t>3.1</t>
  </si>
  <si>
    <t>Suministro e instalación de Medidor prepago monofásico bifilar 5 (80) A, 120 V, calibrado. Incluye sistema de  gestión de recaudo y equipos de comunicación standalone.</t>
  </si>
  <si>
    <t>Implementar Instalaciones Internas</t>
  </si>
  <si>
    <t>4.1</t>
  </si>
  <si>
    <t>Instalaciones Internas que incluyan 4 salidas de alumbrado y 4 tomacorrientes. Se considera implementación de hasta 20 metros de tubería EMT de 3/4" y hasta 80 mts de cable de cobre aislado THHN No. 12 AWG</t>
  </si>
  <si>
    <t>TOTAL COSTOS DIRECTOS</t>
  </si>
  <si>
    <t xml:space="preserve">ITEM: </t>
  </si>
  <si>
    <t>UNIDAD:</t>
  </si>
  <si>
    <t xml:space="preserve">  I.  MATERIALES</t>
  </si>
  <si>
    <t>SUBTOTAL:</t>
  </si>
  <si>
    <t xml:space="preserve"> II.  EQUIPO Y HERRAMIENTA</t>
  </si>
  <si>
    <t>Tarifa/día</t>
  </si>
  <si>
    <t>III.  TRANSPORTE</t>
  </si>
  <si>
    <t>No. Personas</t>
  </si>
  <si>
    <t>Tarifa / Persona</t>
  </si>
  <si>
    <t>Alquiler motocicleta con conductor, valor diario</t>
  </si>
  <si>
    <t xml:space="preserve">IV.  MANO DE OBRA </t>
  </si>
  <si>
    <t>Jornal</t>
  </si>
  <si>
    <t>Fac. Pres.</t>
  </si>
  <si>
    <t xml:space="preserve">TOTAL COSTO DIRECTO: </t>
  </si>
  <si>
    <t>Tipo</t>
  </si>
  <si>
    <t>Tarifa / Kg</t>
  </si>
  <si>
    <t>KG</t>
  </si>
  <si>
    <t>Concreto (21 Mpa)</t>
  </si>
  <si>
    <t>Desperdicio 5%</t>
  </si>
  <si>
    <t>Acero de refuerzo estructural</t>
  </si>
  <si>
    <t>Desperdicio 15%</t>
  </si>
  <si>
    <t>Concreto</t>
  </si>
  <si>
    <t>Excavacion</t>
  </si>
  <si>
    <t>acero de refuerzo</t>
  </si>
  <si>
    <t>acero estructural</t>
  </si>
  <si>
    <t>hincado poste</t>
  </si>
  <si>
    <t>rendimiento</t>
  </si>
  <si>
    <t>Lista de precios Materiales Estudio de mercados IPSE</t>
  </si>
  <si>
    <t>Codigo</t>
  </si>
  <si>
    <t>CATEGORÍA</t>
  </si>
  <si>
    <t>Material</t>
  </si>
  <si>
    <t>Peso Kg</t>
  </si>
  <si>
    <t>Valor Unitario</t>
  </si>
  <si>
    <t>PRECIO BASE</t>
  </si>
  <si>
    <t>AJUSTE POSITIVO</t>
  </si>
  <si>
    <t>Equipo principal</t>
  </si>
  <si>
    <t>Módulo solar fotovoltaico monocristalino tipo PERC "Half Cell" TIER 1 de 545 Wp</t>
  </si>
  <si>
    <t>Cableado y accesorios</t>
  </si>
  <si>
    <t>Cable Cu solar XLPE 4mm 1kV 120 °C</t>
  </si>
  <si>
    <t>ML</t>
  </si>
  <si>
    <t>Conector MC4 (Macho o Hembra)</t>
  </si>
  <si>
    <t>Cable Cu solar XLPE 6 AWG 1kV 120 °C</t>
  </si>
  <si>
    <t>Canalizaciones y accesorios</t>
  </si>
  <si>
    <t>Coraza flexible Liquid Tight 1 1/4"</t>
  </si>
  <si>
    <t>Terminal IMC 1/ 1/4"</t>
  </si>
  <si>
    <t>Abrazadera metálica doble ala 1 1/4"</t>
  </si>
  <si>
    <t>Tableros y gabinetes</t>
  </si>
  <si>
    <t>Gabinete eléctrico con tapa traslucida, doble fondo y cumplimiento RETIE, dimensiones 630x530x180 mm</t>
  </si>
  <si>
    <t>Barrajes</t>
  </si>
  <si>
    <t>Barraje de cobre tropicalizado de 210 A para 16 conexiones</t>
  </si>
  <si>
    <t>Accesorios Eléctricos</t>
  </si>
  <si>
    <t>Riel DIN 35 mm x 7.5 mm</t>
  </si>
  <si>
    <t>Protecciones</t>
  </si>
  <si>
    <t xml:space="preserve">Interruptor termomagnético 50A 2P 500 VDC 6 Ka </t>
  </si>
  <si>
    <t xml:space="preserve">Interruptor termomagnético 250A 2P 500 VDC 20 Ka </t>
  </si>
  <si>
    <t>DPS</t>
  </si>
  <si>
    <t>DPS Tipo 2 500 Uc Up 2,5 kV 18-40 kA</t>
  </si>
  <si>
    <t>Cable de Aluminio Serie  8000 THHN. 2/0 AWG</t>
  </si>
  <si>
    <t>Controlador MPPT RS 450/200A, tensiones de trabajo a 24V-48V, con conexión bluetoot y VE.CAN para configuración y monitorización de historico, eficiencia de conversión 99%, función de trabajo en paralelo</t>
  </si>
  <si>
    <t>Cable de Aluminio Serie  8000 THHN. 8 AWG</t>
  </si>
  <si>
    <t>Cable de Aluminio Serie  8000 THHN. 1/0 AWG</t>
  </si>
  <si>
    <t>Gabinete eléctrico metálico con revestimiento eléctrostatico de dimensiones 820x620x300 IP66 Doble fondo.</t>
  </si>
  <si>
    <t>Barraje de cobre tropicalizado de 650 A para 16 conexiones</t>
  </si>
  <si>
    <t xml:space="preserve">Interruptor termomagnético 100A 2P 500 VDC 6 Ka </t>
  </si>
  <si>
    <t>Cable de Aluminio Serie  8000 THHN. 3/0 AWG</t>
  </si>
  <si>
    <t xml:space="preserve">Interruptor termomagnético 140A 2P 500 VDC 6 Ka </t>
  </si>
  <si>
    <t xml:space="preserve">Interruptor termomagnético 200A 2P 500 VDC 6 Ka </t>
  </si>
  <si>
    <t>Borna para ponchar varios calibres y terminales</t>
  </si>
  <si>
    <t>Tubo termoencogible. Distintos calibres, distintos colores</t>
  </si>
  <si>
    <t>Batería de LiFePO4 6.1 kWh - 48V - 120 Ah,6000 ciclos con DOD 80%, incluido BMS</t>
  </si>
  <si>
    <t>Gabinete de Piso 40U (Ancho: 710 mm • Fondo: 990 mm)</t>
  </si>
  <si>
    <t xml:space="preserve">Cable Cu TWK 10 AWG </t>
  </si>
  <si>
    <t>Terminales para batería. Par</t>
  </si>
  <si>
    <t>JG</t>
  </si>
  <si>
    <t>Inversor 5kVA, voltaje de salida 230V/120V, con dos entradas CA y dos salidas CA, certificacion IEC 60335-1, IEC 60335-2 y IEC 62109-1</t>
  </si>
  <si>
    <t>Gabinete eléctrico metálico con cumplimiento RETIE, con revestimiento eléctrostatico de dimensiones 420x320x200 IP66 Doble fondo.</t>
  </si>
  <si>
    <t>Barraje de cobre tropicalizado de 110 A para 16 conexiones</t>
  </si>
  <si>
    <t>Interruptor termomagnético 30 A 1P 120/240 VAC 10kA</t>
  </si>
  <si>
    <t>Interruptor termomagnético 100 A 1P 120/240 VAC 10kA</t>
  </si>
  <si>
    <t xml:space="preserve">Autotransformador tipo split 120/230AC, 100A </t>
  </si>
  <si>
    <t>Gabinete eléctrico metálico con cumplimiento RETIE, con revestimiento eléctrostatico de dimensiones 250x700x100 IP66 Doble fondo.</t>
  </si>
  <si>
    <t>Barraje de cobre tropicalizado de 250 A para 16 conexiones</t>
  </si>
  <si>
    <t>SPT</t>
  </si>
  <si>
    <t>Kit de barra de cobre para puesta tierra de 8 conectores con área transversal no menor a 21,14 mm2. Incluye aisladores y accesorios de sujeción</t>
  </si>
  <si>
    <t>Cable Cu THHN 16 AWG</t>
  </si>
  <si>
    <t>Interruptor termomagnético 200 A 2P 120/240 VAC 10kA</t>
  </si>
  <si>
    <t>Interruptor termomagnético 130 A 2P 120/240 VAC 10kA</t>
  </si>
  <si>
    <t>Interruptor termomagnético 16 A 1P 120/240 VAC 10kA</t>
  </si>
  <si>
    <t>Canaleta conduit de 60x300 mm</t>
  </si>
  <si>
    <t>Tuberia conduit PVC SCH 40 1/4"</t>
  </si>
  <si>
    <t>Tuberia conduit PVC 2 1/2"</t>
  </si>
  <si>
    <t>Uniones, curvas y terminales PVC. Varios calibres</t>
  </si>
  <si>
    <t>Accesorios para fijación de canaleta (tornillería, pegante, chazos, etc)</t>
  </si>
  <si>
    <t>Conector recto coraza Liquid Tight 1 1/4"</t>
  </si>
  <si>
    <t>Union rápida para curvas canaleta conduit. Difertentes medidas</t>
  </si>
  <si>
    <t>Union con tornillo para canaleta (tipo perro)</t>
  </si>
  <si>
    <t>Union rápida para canaleta EDRN</t>
  </si>
  <si>
    <t>Desconectador de baterías 600 A</t>
  </si>
  <si>
    <t>Monitoreo y control</t>
  </si>
  <si>
    <t>Equipo de monitorización compatible con inversor, controlador y batería, WiFi y/o Ethernet y bluetooth, con firmaware gratuito y plataforma abierta</t>
  </si>
  <si>
    <t>Modem satelital</t>
  </si>
  <si>
    <t>Cable UTP Cat5E</t>
  </si>
  <si>
    <t>Cable UTP Cat6</t>
  </si>
  <si>
    <t>Conector RJ45</t>
  </si>
  <si>
    <t>Conector Patchcore RJ45 hembra</t>
  </si>
  <si>
    <t>Coraza flexible Liquid Tight 1/2"</t>
  </si>
  <si>
    <t>Conector recto coraza Liquid Tight 1/2"</t>
  </si>
  <si>
    <t>Caja de protección para albergue de equipos de monitoreo, con tapa frontal adecuada para instalación de pantalla de monitoreo</t>
  </si>
  <si>
    <t>Cable VE.Direct / VE.Can 1.8m</t>
  </si>
  <si>
    <t>Cable coaxial y antena para externa para interperie</t>
  </si>
  <si>
    <t>Otros</t>
  </si>
  <si>
    <t>Extintor</t>
  </si>
  <si>
    <t>Instalaciones internas</t>
  </si>
  <si>
    <t>Tomacorriente doble con polo a tierra</t>
  </si>
  <si>
    <t>Caja PVC 2" x 4"</t>
  </si>
  <si>
    <t>Cable de Aluminio Desnudo. 3/0 AWG</t>
  </si>
  <si>
    <t>Varilla de cobre 5/8 x 2.4 m</t>
  </si>
  <si>
    <t>Soldadura exotermina 90 gr</t>
  </si>
  <si>
    <t>Grapas de sujeción</t>
  </si>
  <si>
    <t>Terminal doble ojo #2 AWG</t>
  </si>
  <si>
    <t>Caja de inspección 30x30 cm con tapa</t>
  </si>
  <si>
    <t>Kit de barra de cobre para puesta tierra de 10 conectores con área transversal no menor a 21,14 mm2. Incluye aisladores y accesorios de sujeción</t>
  </si>
  <si>
    <t>Cable de Aluminio Serie  8000 THHN. 2 AWG</t>
  </si>
  <si>
    <t>Cable de Aluminio Serie  8000 THHN. 4 AWG</t>
  </si>
  <si>
    <t>Cinta acero inoxidable 19 mm (3/4")</t>
  </si>
  <si>
    <t>Hebilla acero inoxidable para cinta 19 mm (3/4")</t>
  </si>
  <si>
    <t>Ojo de aluminio para acometida domiciliaria</t>
  </si>
  <si>
    <t>Pinza de anclaje acometida domiciliaria</t>
  </si>
  <si>
    <t>Perno 7/16" con chazo</t>
  </si>
  <si>
    <t>Abrazadera metálica galvanizada doble ala 3/4"</t>
  </si>
  <si>
    <t>Cable de aluminio antifraude (con neutro concéntrico) 2 x No. 6 AWG</t>
  </si>
  <si>
    <t>Tuberia conduit PVC tipo A 3/4"</t>
  </si>
  <si>
    <t>Tubería conduit PVC SCH 40 3/4"</t>
  </si>
  <si>
    <t>Cable Cu Desnudo 8 AWG</t>
  </si>
  <si>
    <t>Medidor de energía monofásico bifilar 5 (80) A, 120 V, calibrado y certificado</t>
  </si>
  <si>
    <t>Caja policarbonato para medidor monofásico prepago con cumplimiento RETIE</t>
  </si>
  <si>
    <t>Civil</t>
  </si>
  <si>
    <t>m2</t>
  </si>
  <si>
    <t>Agua</t>
  </si>
  <si>
    <t>L</t>
  </si>
  <si>
    <t>Agregado grueso (grava, grava triturada y/o roca triturada)</t>
  </si>
  <si>
    <t>m3</t>
  </si>
  <si>
    <t>Agregado fino para concreto (tamaño máximo 4,75mm - arena natural o trituración de roca, gravas, y/o escorias)</t>
  </si>
  <si>
    <t>Cemento hidráulico tipo ART</t>
  </si>
  <si>
    <t>kg</t>
  </si>
  <si>
    <t>Acero de refuerzo fy=420 MPa</t>
  </si>
  <si>
    <t>Alambre negro para amarre calibre 18</t>
  </si>
  <si>
    <t>Piedra rajón</t>
  </si>
  <si>
    <t>Impermeabilizante para concreto</t>
  </si>
  <si>
    <t>Acero galvanizado para estructura de soporte de paneles fotovoltaicos (ASTM A500 Gr.C y ASTM A653 Gr.50)</t>
  </si>
  <si>
    <t>Aislante de neopreno e mín.=6 mm</t>
  </si>
  <si>
    <t>m</t>
  </si>
  <si>
    <t>Pintura anticorrosiva</t>
  </si>
  <si>
    <t>gal</t>
  </si>
  <si>
    <t>Kit para construcción del sistema de recolección y suministro de aguas lluvias. Incluye botellas PET, tubería en PVC, canales, uniones y bajantes, láminas en superboard, válvulas, accesores, empaques, según diseño</t>
  </si>
  <si>
    <t xml:space="preserve">Poste en poliéster reforzado con fibra de vidrio (PRFV) ASCE 104/ASTM D4923, h=4m, 510kgf. </t>
  </si>
  <si>
    <t>Conduit pvc tipo A - 2"</t>
  </si>
  <si>
    <t>Soldadura PVC</t>
  </si>
  <si>
    <t>Curva PVC 2"</t>
  </si>
  <si>
    <t>Union PVC 2"</t>
  </si>
  <si>
    <t>Cinta amarilla</t>
  </si>
  <si>
    <t>Cinta roja</t>
  </si>
  <si>
    <t>Cable Al Multiplex Triplex 2x1/0 + 1/0 THWN</t>
  </si>
  <si>
    <t>Cable Al Multiplex Triplex 2x2 + 2 THWN</t>
  </si>
  <si>
    <t>Caja de inspección</t>
  </si>
  <si>
    <t>Caja de inspección de BT, Norma Codensa CS274-1. Incluye rejilla para drenaje, tubería de desagüe, sellantes, marco metálico en ángulo de (2 1/2" x 2 1/2" x 3/16") y tapa en concreto reforzado.</t>
  </si>
  <si>
    <t>Barraje Premoldeado Para Baja Tensión Sumergible 500A 6 Puertos</t>
  </si>
  <si>
    <t>Terminal PVC tipo A 2"</t>
  </si>
  <si>
    <t>Sellador elástico cortafuego de silicona</t>
  </si>
  <si>
    <t>Tablero de distribución 1Ø - 3H de 4 circuitos</t>
  </si>
  <si>
    <t>Interruptor termomagnético enchufable 1 x 20 A, 120 VAC - 10 KA</t>
  </si>
  <si>
    <t>Caja PVC 4" x 4" con tapa lisa</t>
  </si>
  <si>
    <t>Plafón de losa</t>
  </si>
  <si>
    <t>Interruptor sencillo</t>
  </si>
  <si>
    <t>Conector tipo resorte No 12 AWG</t>
  </si>
  <si>
    <t>Cable Cu THHN 12 AWG</t>
  </si>
  <si>
    <t>Tornillo metálico galvanizado 1/4" x 1" con arandela</t>
  </si>
  <si>
    <t>Caja PVC Octagonal</t>
  </si>
  <si>
    <t>Estación metereologica inalambrica con sensor de humedad, temperatura, velocidad de viento, irradiación solar, radiación UV, precipitación incluye pantalla de monitorización</t>
  </si>
  <si>
    <t>Tubo de acero 2" mástil de soporte</t>
  </si>
  <si>
    <t>Soporte riel chanel 2x4cm x3m</t>
  </si>
  <si>
    <t>Grapas riel chanel conduit EMT 2"</t>
  </si>
  <si>
    <t>Cable Cu solar XLPE 10 AWG 1kV 120 °C</t>
  </si>
  <si>
    <t>Cable Cu THHN 10 AWG</t>
  </si>
  <si>
    <t>Uniones, curvas y terminales IMC. Varios calibres</t>
  </si>
  <si>
    <t>Tuberia conduit IMC 3/4"</t>
  </si>
  <si>
    <t>Barra bornera tierra con soporte plástico riel din de 10 cm</t>
  </si>
  <si>
    <t>Barra de cobre 12x2x100 mm (incluye aisladores)</t>
  </si>
  <si>
    <t xml:space="preserve">Canaleta ranurada dexon 25 x 40 mm </t>
  </si>
  <si>
    <t>Cinta de amarre dexon 10 cm color blanco</t>
  </si>
  <si>
    <t>Gabinete metálico con puerta y chapa para equipos y conexiones DC/AC de 598 mm de ancho, 840 mm de alto, 460 cm de fondo (incluye doblefondo, angeos, diseño y fabricación a la medida de los componentes), con soporte interior para batería 48V/100Ah)</t>
  </si>
  <si>
    <t>Marcador tipo anillo ar2 (+, -, L, N,T) x 20 Piezas</t>
  </si>
  <si>
    <t>Tornillo autoperforante de cabeza estrella 1/4" x 1/4"</t>
  </si>
  <si>
    <t xml:space="preserve">Interruptor termomagnético 25A 2P 500 VDC 6 Ka </t>
  </si>
  <si>
    <t xml:space="preserve">Interruptor termomagnético 80A 2P 500 VDC 6 Ka </t>
  </si>
  <si>
    <t xml:space="preserve">Interruptor termomagnético 25A 1P 120 VAC 10 Ka </t>
  </si>
  <si>
    <t>Cable Cu Soldador 2 AWG</t>
  </si>
  <si>
    <t>Cable Cu SGT 2 AWG</t>
  </si>
  <si>
    <t>Controlador de carga MPPT 48 VDC capacidad 50 A</t>
  </si>
  <si>
    <t>Batería de ión - litio tipo fosfato de hierro (LiFePO4) de ciclo profundo de 100 Ah - 51,2 VDC</t>
  </si>
  <si>
    <t>Inversor de onda senoidal pura 48 VDC / 120 VAC -  2000 VA, FP=1</t>
  </si>
  <si>
    <t>Malla electrosoldada 150x150x7mm ASTM 706</t>
  </si>
  <si>
    <t>Poste en acero galvanizado al caliente de 3 m, 510kgf. contiene: platina base en lámina ASTM A36 y soporte fijo para 2 paneles solares.</t>
  </si>
  <si>
    <t>Datalogguer (Toma de datos medidor)</t>
  </si>
  <si>
    <t>Coraza flexible Liquid Tight 1"</t>
  </si>
  <si>
    <t>Abrazadera metálica doble ala 1"</t>
  </si>
  <si>
    <t>Conector recto coraza Liquid Tight 1"</t>
  </si>
  <si>
    <t>Barraje de cobre tropicalizado de 200 A para 16 conexiones</t>
  </si>
  <si>
    <t>Barraje de cobre tropicalizado de 550 A para 16 conexiones</t>
  </si>
  <si>
    <t>Barraje de cobre tropicalizado de 100 A para 16 conexiones</t>
  </si>
  <si>
    <t>Interruptor termomagnético 80 A 1P 120/240 VAC 10kA</t>
  </si>
  <si>
    <t>Interruptor termomagnético 160 A 2P 120/240 VAC 10kA</t>
  </si>
  <si>
    <t>Interruptor termomagnético 110 A 2P 120/240 VAC 10kA</t>
  </si>
  <si>
    <t>Barraje de cobre tropicalizado de 120 A para 16 conexiones</t>
  </si>
  <si>
    <t>Controlador MPPT 250/60A, tensiones de trabajo a 24V-48V, con conexión bluetoot y VE.CAN para configuración y monitorización de historico, eficiencia de conversión 99%, función de trabajo en paralelo</t>
  </si>
  <si>
    <t>Barraje de cobre tropicalizado de 400 A para 16 conexiones</t>
  </si>
  <si>
    <t>Cable Cu SGT 6 AWG</t>
  </si>
  <si>
    <t>Cable Cu SGT 4 AWG</t>
  </si>
  <si>
    <t>Cable Cu SGT 1/0 AWG</t>
  </si>
  <si>
    <t>Barraje de cobre tropicalizado de 60 A para 16 conexiones</t>
  </si>
  <si>
    <t>Interruptor termomagnético 50 A 1P 120/240 VAC 10kA</t>
  </si>
  <si>
    <t>Barraje de cobre tropicalizado de 125 A para 16 conexiones</t>
  </si>
  <si>
    <t>Interruptor termomagnético 90 A 2P 120/240 VAC 10kA</t>
  </si>
  <si>
    <t>Canaleta conduit de 60x200 mm</t>
  </si>
  <si>
    <t>Cable de Aluminio Serie  8000 THHN. 6 AWG</t>
  </si>
  <si>
    <t>Barraje de cobre tropicalizado de 30 A para 6 conexiones</t>
  </si>
  <si>
    <t>Módulo solar fotovoltaico monocristalino tipo PERC "Half Cell" TIER 1 de 570 Wp</t>
  </si>
  <si>
    <t>Controlador MPPT 150/60A, tensiones de trabajo a 24V-48V, con conexión bluetoot y VE.CAN para configuración y monitorización de historico, eficiencia de conversión 99%, función de trabajo en paralelo</t>
  </si>
  <si>
    <t>Barraje de cobre tropicalizado de 350 A para 16 conexiones</t>
  </si>
  <si>
    <t>Interruptor termomagnético 60 A 1P 120/240 VAC 10kA</t>
  </si>
  <si>
    <t>Interruptor termomagnético 80 A 2P 120/240 VAC 10kA</t>
  </si>
  <si>
    <t>Barraje de cobre tropicalizado de 135 A para 16 conexiones</t>
  </si>
  <si>
    <t xml:space="preserve">Interruptor termomagnético 160A 2P 500 VDC 6 Ka </t>
  </si>
  <si>
    <t>Barraje de cobre tropicalizado de 270 A para 16 conexiones</t>
  </si>
  <si>
    <t>Barraje de cobre tropicalizado de 160 A para 16 conexiones</t>
  </si>
  <si>
    <t>Barraje de cobre tropicalizado de 70 A para 16 conexiones</t>
  </si>
  <si>
    <t>Barraje de cobre tropicalizado de 150 A para 16 conexiones</t>
  </si>
  <si>
    <t>Interruptor termomagnético 50 A 2P 120/240 VAC 10kA</t>
  </si>
  <si>
    <t>Interruptor termomagnético 60 A 2P 120/240 VAC 10kA</t>
  </si>
  <si>
    <t xml:space="preserve">Interruptor termomagnético 125A 2P 500 VDC 6 Ka </t>
  </si>
  <si>
    <t>Tablero enchufe monofásico con cumplimiento retie</t>
  </si>
  <si>
    <t>Barraje de cobre tropicalizado de 80 A para 16 conexiones</t>
  </si>
  <si>
    <t>Interruptor termomagnético 40 A 2P 120/240 VAC 10kA</t>
  </si>
  <si>
    <t>Canaleta conduit de 60x100 mm</t>
  </si>
  <si>
    <t>Plan de datos satelital x año</t>
  </si>
  <si>
    <t>Radio Transmisor Telemetria + Cable Extensor Antena</t>
  </si>
  <si>
    <t>GB</t>
  </si>
  <si>
    <t>Radio Receptor Telemetria Control Maestro + Cable Extensor Antena</t>
  </si>
  <si>
    <t>Gabinete Controlador Maestro Y Panel</t>
  </si>
  <si>
    <t>Aplicativo Captura Datalogger (Datasol)</t>
  </si>
  <si>
    <t>Servidor (Pantalla-Teclado-Mouse)</t>
  </si>
  <si>
    <t>UPS  Servidor</t>
  </si>
  <si>
    <t>Alambre galvanizado No. 10</t>
  </si>
  <si>
    <t xml:space="preserve">Ángulo ASTM A36 de 1 1/2"x1 1/2"x 3/16" </t>
  </si>
  <si>
    <t>GAL</t>
  </si>
  <si>
    <t>Platina metálica pisamalla 3/8"x1/8"</t>
  </si>
  <si>
    <t>Alambre de puas galvanizado CAL 14</t>
  </si>
  <si>
    <t>Tubo cerramiento galvanizado φ1  1/2" x1.5 mm</t>
  </si>
  <si>
    <t>Tubo cerramiento galvanizado φ2" x2.5 mm</t>
  </si>
  <si>
    <t>Tubo cerramiento galvanizado φ2  1/2" x2.5 mm</t>
  </si>
  <si>
    <t>Tubo cerramiento galvanizado φ3" x3 mm</t>
  </si>
  <si>
    <t>Concreto simple resistencia 3000 psi - Mezcla in situ   para cimentación de cerramiento, incluye formaleta de madera</t>
  </si>
  <si>
    <t>Concreto Ciclópeo 40% Piedra rajón y 60% Concreto de 17 Mpa - Mezcal in situ</t>
  </si>
  <si>
    <t>Kit para construcción de envolvente cuarto de equipos según diseño. Incluye muros en WPC sistema interlocking, cubierta en teja de PVC 2.5 mm color blanca con caballetes, puertas en aluminio anodizado, rejillas de ventilación en aluminio , tornillería y piezas de sujeción.</t>
  </si>
  <si>
    <r>
      <t>m</t>
    </r>
    <r>
      <rPr>
        <vertAlign val="superscript"/>
        <sz val="11"/>
        <rFont val="Arial"/>
        <family val="2"/>
      </rPr>
      <t>2</t>
    </r>
  </si>
  <si>
    <t>Cable de Cobre Desnudo. 6 AWG</t>
  </si>
  <si>
    <t>Modem celular 3G y LTE 4G, con receptor GPS integrado</t>
  </si>
  <si>
    <t>Medidor de energía AMI monofásico bifilar 5 (80) A, 120 V, calibrado</t>
  </si>
  <si>
    <t>Modulo externo 3G/4G</t>
  </si>
  <si>
    <t>Módulo solar fotovoltaico monocristalino tipo PERC "Half Cell" TIER 1 de 550 Wp</t>
  </si>
  <si>
    <t>Cable Cu solar XLPE 6mm 1kV 120 °C</t>
  </si>
  <si>
    <t xml:space="preserve">Interruptor termomagnético 25A 2P 120/240V VAC 10 Ka </t>
  </si>
  <si>
    <t>DPS Tipo 1+2 500 Uc Up 2,5 kV 18-40 kA</t>
  </si>
  <si>
    <t>Cable Cu THHN 4 AWG</t>
  </si>
  <si>
    <t>Cable Cu THHN 2 AWG</t>
  </si>
  <si>
    <t>Cable Cu THHN 1/0 AWG</t>
  </si>
  <si>
    <t>Cable Cu THHN 2/0 AWG</t>
  </si>
  <si>
    <t>Cable Cu THHN 6 AWG</t>
  </si>
  <si>
    <t xml:space="preserve">Interruptor termomagnético 20A 2P 120/240V VAC 10 Ka </t>
  </si>
  <si>
    <t>DPS- Señalizacion Tipo 2 2P 150 Uc 20-40 kA</t>
  </si>
  <si>
    <t>Cable de Cobre Desnudo. 2 AWG</t>
  </si>
  <si>
    <t>Bentonita mejorada</t>
  </si>
  <si>
    <t>BULTO</t>
  </si>
  <si>
    <t>Cable Cu THHN 8 AWG</t>
  </si>
  <si>
    <t>Barraje de cobre tropicalizado de 300 A para 16 conexiones</t>
  </si>
  <si>
    <t xml:space="preserve">Interruptor termomagnético 320A 2P 500 VDC 6 Ka </t>
  </si>
  <si>
    <t>Cable Cu THHN 250 MCM</t>
  </si>
  <si>
    <t>Barraje de cobre tropicalizado de 500 A para 16 conexiones</t>
  </si>
  <si>
    <t xml:space="preserve">Interruptor termomagnético 630A 2P 500 VDC 6 Ka </t>
  </si>
  <si>
    <t>Cable Cu THHN 350 MCM</t>
  </si>
  <si>
    <t xml:space="preserve">Autotransformador 15 kVA trifásico, IP40 Y/Y 120/208 V </t>
  </si>
  <si>
    <t>Interruptor termomagnético 50 A 3P 208 VAC 10kA</t>
  </si>
  <si>
    <t>Interruptor termomagnético 40 A 3P 208 VAC 10kA</t>
  </si>
  <si>
    <t>DPS- Señalizacion Tipo 2 3P 250 Uc 20-40 kA</t>
  </si>
  <si>
    <t>Tubo EMT 1 1/2"</t>
  </si>
  <si>
    <t>Unión EMT 1 1/2"</t>
  </si>
  <si>
    <t>Adaptador EMT 1 1/2"</t>
  </si>
  <si>
    <t>Curva EMT 1 1/2"</t>
  </si>
  <si>
    <t xml:space="preserve">Tubo EMT 2" </t>
  </si>
  <si>
    <t>Adaptador EMT 2"</t>
  </si>
  <si>
    <t>Unión EMT 2"</t>
  </si>
  <si>
    <t>Curva EMT 2"</t>
  </si>
  <si>
    <t xml:space="preserve">Tubo EMT 3" </t>
  </si>
  <si>
    <t>Adaptador EMT 3"</t>
  </si>
  <si>
    <t>Unión EMT 3"</t>
  </si>
  <si>
    <t>Curva EMT 3"</t>
  </si>
  <si>
    <t>Inversor Symo Advanced 15.0-3 480 WLAN/LAN/Webserver Fronius</t>
  </si>
  <si>
    <t>Inversor bidireccional Victron Quattro 10 kW 120 V</t>
  </si>
  <si>
    <t>Generador Diesel 3F 36kVA/29kW 230/132V abierto</t>
  </si>
  <si>
    <t>Transformador de distribución monofásico 5 kVA 13200/208/127 V.</t>
  </si>
  <si>
    <t>Transformador de distribución trifásico 30 kVA 13200/208/127 V.</t>
  </si>
  <si>
    <t>Aislador suspension sintetico-polimerico para 15 KV</t>
  </si>
  <si>
    <t>Arandela presión 5/8"</t>
  </si>
  <si>
    <t>Arandela presión 1/2"</t>
  </si>
  <si>
    <t xml:space="preserve">Cruceta de 2,4 Mts x 3 x 3 x 1/4 </t>
  </si>
  <si>
    <t>Grapa de retención aluminio 6 - 2/0 AWG</t>
  </si>
  <si>
    <t xml:space="preserve">Perno de maquina 5/8 X 10" </t>
  </si>
  <si>
    <t>Perno de maquina 1/2 X 1 1/2</t>
  </si>
  <si>
    <t>Espárrago 5/8 X 10"</t>
  </si>
  <si>
    <t>Tuerca de ojo redonda 5/8"</t>
  </si>
  <si>
    <t>Diagonal de 68 cm 1 1/2 x 1 1/2 x 3/16</t>
  </si>
  <si>
    <t>Arandela cuadrada 2 x 2 x 5/8 "</t>
  </si>
  <si>
    <t>Arandela cuadrada 2 x 2 x 1/2 "</t>
  </si>
  <si>
    <t>Conector de ranuras paralelas 2/0-2/0 tipo DBH-2</t>
  </si>
  <si>
    <t>Aislador tipo pin 15 kV ANSI 55-5</t>
  </si>
  <si>
    <t>Tuberia IMC 3" x 3m</t>
  </si>
  <si>
    <t>Capacete Galvanizado para tuberia IMC de 3"</t>
  </si>
  <si>
    <t>CURVA CONDUIT PVC 3" TDP</t>
  </si>
  <si>
    <t>Collarin 2 salidas 6" - 7"</t>
  </si>
  <si>
    <t>Perno carriage 5/8 x 2</t>
  </si>
  <si>
    <t>Conector en aluminio 2 pernos 6 - 2/0</t>
  </si>
  <si>
    <t>Cortacircuitos 15 KV</t>
  </si>
  <si>
    <t>Dado galvanizado de 3" x 3"</t>
  </si>
  <si>
    <t>Fusible tipo dual</t>
  </si>
  <si>
    <t>Grapa para conexión en caliente</t>
  </si>
  <si>
    <t>Pararrayos 12 kV - 10 kA</t>
  </si>
  <si>
    <t>Collarin para Transformador de 8 - 9 pl. 1/4 Bajo Silicio 200 mm</t>
  </si>
  <si>
    <t>Cable ACSR Nº 2</t>
  </si>
  <si>
    <t>ml</t>
  </si>
  <si>
    <t>Aislador tipo tensor 4/1/4"</t>
  </si>
  <si>
    <t>Grapa prensora 3 pernos para cable 3/8"</t>
  </si>
  <si>
    <t>Guardacabo para cable 3/8"</t>
  </si>
  <si>
    <t>Arandela cuadrada plano 4 x 4 x 5/8 "</t>
  </si>
  <si>
    <t>Varilla de anclaje 1.8 m x 5/8"</t>
  </si>
  <si>
    <t>Bloque de anclaje en Concreto</t>
  </si>
  <si>
    <t>Cable galvanizado 3/8"</t>
  </si>
  <si>
    <t>Soldadura exotermica 115 gr</t>
  </si>
  <si>
    <t xml:space="preserve">Cinta bandit 5/8" </t>
  </si>
  <si>
    <t>Hebilla de acero inoxidable 5/8"</t>
  </si>
  <si>
    <t>Tubo EMT 1/2 x 3m</t>
  </si>
  <si>
    <t>Hidrogel para tratamiento de tierras ( 25 KG)</t>
  </si>
  <si>
    <t>Aislador tipo carrete</t>
  </si>
  <si>
    <t xml:space="preserve">Conector Bimetalico 2 Perno 1/0 - 366 Kcmil </t>
  </si>
  <si>
    <t>Percha tipo pesado de 1 puestos</t>
  </si>
  <si>
    <t>Cable cuadruplex 3 x 2/0  + 1/0</t>
  </si>
  <si>
    <t>Cable triplex 2x4 + 4</t>
  </si>
  <si>
    <t>Cable monofásico concentrico 1x8+8 CU</t>
  </si>
  <si>
    <t>Union EMT 1/2"</t>
  </si>
  <si>
    <t>Terminal EMT 1/2"</t>
  </si>
  <si>
    <t>Curva EMT 1/2"</t>
  </si>
  <si>
    <t>Generador Diesel 3F 12kVA/10kW 230/132V cerrada</t>
  </si>
  <si>
    <t>Generador Diesel 3F 21kVA/19kW 230/132V cerrada</t>
  </si>
  <si>
    <t>Transformador de distribución para aplicación solar 75 kVA - 208V/13,2KV seco</t>
  </si>
  <si>
    <t>Transformador de distribución para aplicación solar 30 kVA - 208V/13,2KV seco</t>
  </si>
  <si>
    <t>Celda para transformador tipo seco de 15 KV (220 X 150 X 120) m, lámina de acero estirada en frío calibre 14-16, tratada químicamente para la desoxidación, desengrase y fosfatado, con acabado epóxico, aplicado electrostáticamente</t>
  </si>
  <si>
    <t>Caja para acometida en policarbonato trifásica 4 usuarios</t>
  </si>
  <si>
    <t xml:space="preserve">Brazo para soporte luminaria horizontal </t>
  </si>
  <si>
    <t xml:space="preserve">Luminaria led street light zd216 40w luz neutra </t>
  </si>
  <si>
    <t xml:space="preserve">Fotocelda </t>
  </si>
  <si>
    <t>Cable cuadruplex 3 x 1/0  + 1/0</t>
  </si>
  <si>
    <t xml:space="preserve">Conector Bimetalico 1 Perno No 1 Cab. 6 </t>
  </si>
  <si>
    <t>Capacete Galvanizado para tubería galvanizada 3/4"</t>
  </si>
  <si>
    <t>Tuberia IMC 3/4" x 3m</t>
  </si>
  <si>
    <t>Poste en fibra de vidrio 8m 750kgf</t>
  </si>
  <si>
    <t>Batería de ión - litio tipo fosfato de hierro (LiFePO4) de ciclo profundo de 120 Ah - 51,2 VDC</t>
  </si>
  <si>
    <t>Soporte para paneles incluye poste cónico en poliéster reforzado con fibra de vidrio (PRFV) de 510 kgf L=4 m y marco superior angular de acero galvanizado en caliente para 3 paneles con sistema de fijación al poste</t>
  </si>
  <si>
    <t xml:space="preserve">Interruptor termomagnético 20A 2P 500 VDC 6 Ka </t>
  </si>
  <si>
    <t>Comunicaciones</t>
  </si>
  <si>
    <t>Medidor Prepago 120V 5-80A</t>
  </si>
  <si>
    <t xml:space="preserve">Plataforma de Recaudo </t>
  </si>
  <si>
    <t>Datafono Telpo  Local</t>
  </si>
  <si>
    <t xml:space="preserve"> Software Datafono Telpo Local</t>
  </si>
  <si>
    <t>Datafono Telpo  Viajero</t>
  </si>
  <si>
    <t xml:space="preserve"> Software Datafono Telpo Viajero</t>
  </si>
  <si>
    <t>Entrenamiento y puesta en marcha plataforma (virtual)</t>
  </si>
  <si>
    <t>Entrenamiento y puesta en marcha servidor de captura (virtual)</t>
  </si>
  <si>
    <t xml:space="preserve">Medidor Prepago 120V 5-80A (AMI) </t>
  </si>
  <si>
    <t xml:space="preserve">Plataforma HES AMI </t>
  </si>
  <si>
    <t>Concentrador AMI PLC CL818C84</t>
  </si>
  <si>
    <t>Gabinete Concentrador</t>
  </si>
  <si>
    <t>Plan Internet Satelital Anual Estándar Starlink</t>
  </si>
  <si>
    <t>Equipo internet satelital Starlink Standar (incluye Antena + Router)</t>
  </si>
  <si>
    <t>Tomacorriente doble con polo a tierra GFCI</t>
  </si>
  <si>
    <t>Lámpara LED de sobreponer de 60 x 60 cm. - 40 W - 120 V</t>
  </si>
  <si>
    <t>Bombillo LED de 9 W - 120 V</t>
  </si>
  <si>
    <t>Módulo solar fotovoltaico monocristalino tipo PERC "Half Cell" TIER 1 de 670 Wp</t>
  </si>
  <si>
    <t>Caja para acometida en policarbonato trifásica 9 usuarios</t>
  </si>
  <si>
    <t>Baja Tensión</t>
  </si>
  <si>
    <t>CONECTOR DE PERFORACION TORN CHAQ AISL 2/0-2  P2X-95</t>
  </si>
  <si>
    <t>KIT PUESTA A TIERRA NEUTRO SECUNDARIO CON VARILLA</t>
  </si>
  <si>
    <t>ARANDELA GUASA DE 1/2" GALVANIZADA EN CALIENTE</t>
  </si>
  <si>
    <t>ARANDELA GUASA DE 5/8" GALVANIZADA EN CALIENTE</t>
  </si>
  <si>
    <t>COLLARIN DOS SALIDAS (7" - 8")</t>
  </si>
  <si>
    <t xml:space="preserve">GRAPA DE SUSPENSIÓN RED TRENZADA </t>
  </si>
  <si>
    <t xml:space="preserve">PERNO DE OJO ABIERTO DE 5/8 X 10 </t>
  </si>
  <si>
    <t>CAPUCHON PARA SELLAR PUNTAS DE CABLE</t>
  </si>
  <si>
    <t xml:space="preserve">GRAPA DE RETENCIÓN RED TRENZADA </t>
  </si>
  <si>
    <t xml:space="preserve">PERNO DE OJO CERRADO DE 5/8 X 10 </t>
  </si>
  <si>
    <t>Caja medidor pequeña con interruptor magnetico</t>
  </si>
  <si>
    <t>Datasol DC Wifi (inlcuye 2 tarjetas Mifare)</t>
  </si>
  <si>
    <t>Aplicativo servidor de captura datalogger</t>
  </si>
  <si>
    <t>App Software Android Lectura informacion medidores</t>
  </si>
  <si>
    <t>caja de conexión IP 68</t>
  </si>
  <si>
    <t xml:space="preserve">Interruptor termomagnético 30A 2P 500 VDC 6 Ka </t>
  </si>
  <si>
    <t xml:space="preserve">Fusible DC 25A </t>
  </si>
  <si>
    <t xml:space="preserve">Portafusibles 1P 1000VDC </t>
  </si>
  <si>
    <t>Cable Cu THHN 4/0 AWG</t>
  </si>
  <si>
    <t>Cable Cu Desnudo 4 AWG</t>
  </si>
  <si>
    <t>Cable Cu THHN 500 MCM</t>
  </si>
  <si>
    <t>Tubo conduit metalico EMT 3/4"</t>
  </si>
  <si>
    <t>Unión conduit metalica EMT 3/4"</t>
  </si>
  <si>
    <t>Terminal conduit metalica EMT 3/4"</t>
  </si>
  <si>
    <t>Regulador (Controlador) de carga MPPT de 48 VDC - 100 Amp. con display LCD, para batería de Ión - Litio tipo LiFePO4</t>
  </si>
  <si>
    <t>Inversor "off-grid" de 3000 W, 48 VDC - 120 VAC, 60 Hz, onda senoidal pura con display LCD</t>
  </si>
  <si>
    <t>Gabinete metálico uso interior para albergar regulador, inversor, baterías, medidor prepago, protecciones y conexiones DC / AC de 130 x 80 x 60 cm.</t>
  </si>
  <si>
    <t>Curva 90 x 3/4 pulgada conduit PVC</t>
  </si>
  <si>
    <t>Batería de ión - litio tipo fosfato de hierro (LiFePO4) de ciclo profundo de 200 Ah - 51,2 VDC</t>
  </si>
  <si>
    <t>Angulo 50 x 50 x 3mm</t>
  </si>
  <si>
    <t>Angulo L ASTM A572 Gr. 50 galvanizado 1/8"x1 1/2"</t>
  </si>
  <si>
    <t>Angulo L ASTM A572 Gr. 50 galvanizado 1/4"x3"</t>
  </si>
  <si>
    <t>Platina ASTM A36 300x300, e=9,53mm</t>
  </si>
  <si>
    <t xml:space="preserve">Platina ASTM A36 200 x 50, e=6,35mm </t>
  </si>
  <si>
    <t>Soldadura electrodo E7018</t>
  </si>
  <si>
    <t xml:space="preserve">Perno ASTM A325 galvanizado 3/8", L=8" </t>
  </si>
  <si>
    <t>und</t>
  </si>
  <si>
    <t xml:space="preserve">Tornillo metálico galvanizado 13x38mm </t>
  </si>
  <si>
    <t xml:space="preserve">Angulo L ASTM A572 Gr. 50 galvanizado 3/16"x2 1/2" </t>
  </si>
  <si>
    <t xml:space="preserve">Angulo L ASTM A572 Gr. 50 galvanizado 3/16"x2" </t>
  </si>
  <si>
    <t>Subbase granular Clase C o similar</t>
  </si>
  <si>
    <t>Cant.</t>
  </si>
  <si>
    <t>Valor</t>
  </si>
  <si>
    <t>3 Paneles</t>
  </si>
  <si>
    <t>Totales</t>
  </si>
  <si>
    <t>Unitario</t>
  </si>
  <si>
    <t>Panel</t>
  </si>
  <si>
    <t>670 wp</t>
  </si>
  <si>
    <t>Bateria</t>
  </si>
  <si>
    <t>120 Ah</t>
  </si>
  <si>
    <t>Controlador</t>
  </si>
  <si>
    <t>CRONOGRAMA Y FLUJO DE FONDOS</t>
  </si>
  <si>
    <t>V/TOTAL</t>
  </si>
  <si>
    <t>MES 1</t>
  </si>
  <si>
    <t>MES 2</t>
  </si>
  <si>
    <t>MES 3</t>
  </si>
  <si>
    <t>MES 4</t>
  </si>
  <si>
    <t>MES 5</t>
  </si>
  <si>
    <t>MES 6</t>
  </si>
  <si>
    <t>MES 7</t>
  </si>
  <si>
    <t>MES 8</t>
  </si>
  <si>
    <t>MES 9</t>
  </si>
  <si>
    <t>MES 10</t>
  </si>
  <si>
    <t>I</t>
  </si>
  <si>
    <t>PRECONTRACTUAL</t>
  </si>
  <si>
    <t>S 1 A S 4</t>
  </si>
  <si>
    <t>S 5 A S 8</t>
  </si>
  <si>
    <t>S 9 A S 12</t>
  </si>
  <si>
    <t>S 13 A S 16</t>
  </si>
  <si>
    <t>S 17 A S 20</t>
  </si>
  <si>
    <t>S 22 A S 24</t>
  </si>
  <si>
    <t>S 25 A S 28</t>
  </si>
  <si>
    <t>S 29 A S 32</t>
  </si>
  <si>
    <t>S 33 A S 36</t>
  </si>
  <si>
    <t>S 37 A S 40</t>
  </si>
  <si>
    <t>Contratación de Gerencia</t>
  </si>
  <si>
    <t>Contratación de Interventoría</t>
  </si>
  <si>
    <t>Contratación de Ejecutor</t>
  </si>
  <si>
    <t>II</t>
  </si>
  <si>
    <t>EJECUCIÓN</t>
  </si>
  <si>
    <t>ETAPA DE ADQUISICIÓN</t>
  </si>
  <si>
    <t>Adquisición de equipos</t>
  </si>
  <si>
    <t>Transito de equipos</t>
  </si>
  <si>
    <t>legalización de equipos</t>
  </si>
  <si>
    <t>IMPLEMENTAR Y PONER EN FUNCIONAMIENTO EQUIPOS PARA LA OPERACIÓN FOTOVOLTAICA.</t>
  </si>
  <si>
    <t>III</t>
  </si>
  <si>
    <t>ETAPA DE LIQUIDACIÓN</t>
  </si>
  <si>
    <t>Emitir y firmar las Actas de recibo de obras, Actas de entrega de activos al prestador del AOM.</t>
  </si>
  <si>
    <t>Entrega de infraestructura, recopilación de documentación y liquidación del contrato de obra</t>
  </si>
  <si>
    <t>Liquidación contrato de interventoría</t>
  </si>
  <si>
    <t>Certificado de cierre de saldos y entrega ENC</t>
  </si>
  <si>
    <t xml:space="preserve">VALOR TOTAL DEL PROYECTO </t>
  </si>
  <si>
    <t xml:space="preserve">% PROGRAMADO </t>
  </si>
  <si>
    <t>% ACUMULADO PROGRAMADO</t>
  </si>
  <si>
    <t xml:space="preserve">COSTO TOTAL PROYECTO </t>
  </si>
  <si>
    <t>No.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</si>
</sst>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
    <numFmt numFmtId="166" formatCode="_(&quot;$&quot;\ * #,##0.00_);_(&quot;$&quot;\ * \(#,##0.00\);_(&quot;$&quot;\ * &quot;-&quot;??_);_(@_)"/>
    <numFmt numFmtId="167" formatCode="0.0%"/>
    <numFmt numFmtId="168" formatCode="_-* #,##0.00\ &quot;Pts&quot;_-;\-* #,##0.00\ &quot;Pts&quot;_-;_-* &quot;-&quot;??\ &quot;Pts&quot;_-;_-@_-"/>
    <numFmt numFmtId="169" formatCode="_-[$$-240A]\ * #,##0.00_-;\-[$$-240A]\ * #,##0.00_-;_-[$$-240A]\ * &quot;-&quot;??_-;_-@_-"/>
    <numFmt numFmtId="170" formatCode="_-[$$-240A]* #,##0_-;\-[$$-240A]* #,##0_-;_-[$$-240A]* &quot;-&quot;??_-;_-@_-"/>
    <numFmt numFmtId="171" formatCode="#,##0.0"/>
    <numFmt numFmtId="172" formatCode="_-[$$-240A]* #,##0.0_-;\-[$$-240A]* #,##0.0_-;_-[$$-240A]* &quot;-&quot;??_-;_-@_-"/>
    <numFmt numFmtId="173" formatCode="_(* #,##0.00_);_(* \(#,##0.00\);_(* &quot;-&quot;??_);_(@_)"/>
    <numFmt numFmtId="174" formatCode="0.000"/>
    <numFmt numFmtId="179" formatCode="&quot;No. &quot;#,##0"/>
    <numFmt numFmtId="181" formatCode="_ &quot;$&quot;\ * #,##0.00_ ;_ &quot;$&quot;\ * \-#,##0.00_ ;_ &quot;$&quot;\ * &quot;-&quot;??_ ;_ @_ "/>
    <numFmt numFmtId="186" formatCode="_ * #,##0.00_ ;_ * \-#,##0.00_ ;_ * &quot;-&quot;??_ ;_ @_ "/>
    <numFmt numFmtId="189" formatCode="_-&quot;$&quot;* #,##0_-;\-&quot;$&quot;* #,##0_-;_-&quot;$&quot;* &quot;-&quot;_-;_-@_-"/>
    <numFmt numFmtId="193" formatCode="_-* #,##0\ &quot;Pts&quot;_-;\-* #,##0\ &quot;Pts&quot;_-;_-* &quot;-&quot;\ &quot;Pts&quot;_-;_-@_-"/>
    <numFmt numFmtId="194" formatCode="[$$-240A]\ #,##0.00"/>
    <numFmt numFmtId="196" formatCode="0.0000"/>
    <numFmt numFmtId="199" formatCode="_-&quot;$&quot;* #,##0.00_-;\-&quot;$&quot;* #,##0.00_-;_-&quot;$&quot;* &quot;-&quot;_-;_-@_-"/>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name val="Arial"/>
      <family val="2"/>
    </font>
    <font>
      <b/>
      <sz val="9"/>
      <color indexed="81"/>
      <name val="Tahoma"/>
      <family val="2"/>
    </font>
    <font>
      <sz val="9"/>
      <color indexed="81"/>
      <name val="Tahoma"/>
      <family val="2"/>
    </font>
    <font>
      <b/>
      <sz val="10"/>
      <name val="Arial"/>
      <family val="2"/>
    </font>
    <font>
      <u/>
      <sz val="10"/>
      <color theme="10"/>
      <name val="Arial"/>
      <family val="2"/>
    </font>
    <font>
      <b/>
      <sz val="11"/>
      <name val="Arial"/>
      <family val="2"/>
    </font>
    <font>
      <b/>
      <u/>
      <sz val="10"/>
      <name val="Arial"/>
      <family val="2"/>
    </font>
    <font>
      <sz val="11"/>
      <color rgb="FF000000"/>
      <name val="Calibri"/>
      <family val="2"/>
    </font>
    <font>
      <b/>
      <sz val="10"/>
      <color theme="1"/>
      <name val="Arial"/>
      <family val="2"/>
    </font>
    <font>
      <sz val="8"/>
      <name val="Arial"/>
      <family val="2"/>
    </font>
    <font>
      <sz val="8"/>
      <color rgb="FF000000"/>
      <name val="Lato"/>
      <family val="2"/>
    </font>
    <font>
      <b/>
      <sz val="14"/>
      <name val="Arial"/>
      <family val="2"/>
    </font>
    <font>
      <sz val="11"/>
      <name val="Arial"/>
      <family val="2"/>
    </font>
    <font>
      <sz val="11"/>
      <name val="Arial Unicode MS"/>
      <family val="2"/>
    </font>
    <font>
      <vertAlign val="superscript"/>
      <sz val="11"/>
      <name val="Arial"/>
      <family val="2"/>
    </font>
    <font>
      <sz val="11"/>
      <color theme="1"/>
      <name val="Arial Unicode MS"/>
      <family val="2"/>
    </font>
    <font>
      <sz val="11"/>
      <name val="Calibri"/>
      <family val="2"/>
    </font>
    <font>
      <sz val="11"/>
      <name val="Arial Unicode MS"/>
    </font>
    <font>
      <b/>
      <sz val="8"/>
      <name val="Arial"/>
      <family val="2"/>
    </font>
    <font>
      <sz val="9"/>
      <name val="Arial"/>
      <family val="2"/>
    </font>
    <font>
      <sz val="8"/>
      <name val="Arial"/>
      <family val="2"/>
    </font>
    <font>
      <b/>
      <sz val="11"/>
      <color theme="1"/>
      <name val="Calibri"/>
      <family val="2"/>
      <scheme val="minor"/>
    </font>
    <font>
      <sz val="10"/>
      <color theme="1"/>
      <name val="Arial"/>
      <family val="2"/>
    </font>
    <font>
      <sz val="10"/>
      <name val="Arial Narrow"/>
      <family val="2"/>
    </font>
    <font>
      <sz val="11"/>
      <color indexed="8"/>
      <name val="Calibri"/>
      <family val="2"/>
    </font>
    <font>
      <sz val="12"/>
      <name val="Arial"/>
      <family val="2"/>
    </font>
    <font>
      <b/>
      <sz val="11"/>
      <color theme="1"/>
      <name val="Calibri"/>
      <family val="2"/>
    </font>
    <font>
      <sz val="12"/>
      <color rgb="FF000000"/>
      <name val="Calibri"/>
      <family val="2"/>
    </font>
    <font>
      <sz val="12"/>
      <color theme="1"/>
      <name val="Calibri"/>
      <family val="2"/>
    </font>
    <font>
      <u/>
      <sz val="11"/>
      <color theme="10"/>
      <name val="Calibri"/>
      <family val="2"/>
      <scheme val="minor"/>
    </font>
    <font>
      <b/>
      <sz val="9"/>
      <name val="Arial"/>
      <family val="2"/>
    </font>
    <font>
      <b/>
      <sz val="20"/>
      <color theme="1"/>
      <name val="Calibri"/>
      <family val="2"/>
    </font>
    <font>
      <b/>
      <sz val="12"/>
      <color theme="1"/>
      <name val="Calibri"/>
      <family val="2"/>
    </font>
    <font>
      <b/>
      <sz val="12"/>
      <color rgb="FF000000"/>
      <name val="Calibri"/>
      <family val="2"/>
    </font>
    <font>
      <sz val="11"/>
      <color rgb="FF006100"/>
      <name val="Calibri"/>
      <family val="2"/>
      <scheme val="minor"/>
    </font>
    <font>
      <b/>
      <sz val="8"/>
      <color theme="1"/>
      <name val="Arial"/>
      <family val="2"/>
    </font>
    <font>
      <b/>
      <sz val="14"/>
      <color theme="1"/>
      <name val="Calibri"/>
      <family val="2"/>
      <scheme val="minor"/>
    </font>
    <font>
      <b/>
      <sz val="12"/>
      <color theme="1"/>
      <name val="Calibri"/>
      <family val="2"/>
      <scheme val="minor"/>
    </font>
    <font>
      <sz val="11"/>
      <color rgb="FF000000"/>
      <name val="Calibri"/>
      <family val="2"/>
      <scheme val="minor"/>
    </font>
    <font>
      <b/>
      <sz val="8"/>
      <color theme="1"/>
      <name val="Calibri"/>
      <family val="2"/>
      <scheme val="minor"/>
    </font>
    <font>
      <b/>
      <sz val="11"/>
      <color rgb="FF000000"/>
      <name val="Calibri"/>
      <family val="2"/>
      <scheme val="minor"/>
    </font>
    <font>
      <b/>
      <i/>
      <sz val="10"/>
      <name val="Arial"/>
      <family val="2"/>
    </font>
    <font>
      <i/>
      <sz val="10"/>
      <name val="Arial"/>
      <family val="2"/>
    </font>
    <font>
      <vertAlign val="superscript"/>
      <sz val="9"/>
      <name val="Arial"/>
      <family val="2"/>
    </font>
    <font>
      <i/>
      <vertAlign val="superscript"/>
      <sz val="10"/>
      <name val="Arial"/>
      <family val="2"/>
    </font>
    <font>
      <sz val="10"/>
      <color rgb="FF202122"/>
      <name val="Arial"/>
      <family val="2"/>
    </font>
    <font>
      <b/>
      <sz val="14"/>
      <color rgb="FF000000"/>
      <name val="Calibri"/>
      <family val="2"/>
      <scheme val="minor"/>
    </font>
    <font>
      <b/>
      <sz val="11"/>
      <color rgb="FF000000"/>
      <name val="Calibri"/>
      <family val="2"/>
      <scheme val="minor"/>
    </font>
    <font>
      <b/>
      <sz val="1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i/>
      <sz val="11"/>
      <color theme="1"/>
      <name val="Calibri"/>
      <family val="2"/>
      <scheme val="minor"/>
    </font>
    <font>
      <sz val="10"/>
      <name val="Arial"/>
      <family val="2"/>
    </font>
  </fonts>
  <fills count="43">
    <fill>
      <patternFill patternType="none"/>
    </fill>
    <fill>
      <patternFill patternType="gray125"/>
    </fill>
    <fill>
      <patternFill patternType="solid">
        <fgColor rgb="FFFFCC99"/>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2F2F2"/>
        <bgColor rgb="FFF2F2F2"/>
      </patternFill>
    </fill>
    <fill>
      <patternFill patternType="solid">
        <fgColor rgb="FFD8D8D8"/>
        <bgColor rgb="FFD8D8D8"/>
      </patternFill>
    </fill>
    <fill>
      <patternFill patternType="solid">
        <fgColor theme="7"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BFBFBF"/>
        <bgColor rgb="FFBFBFBF"/>
      </patternFill>
    </fill>
    <fill>
      <patternFill patternType="solid">
        <fgColor rgb="FFDADADA"/>
        <bgColor rgb="FFDADADA"/>
      </patternFill>
    </fill>
    <fill>
      <patternFill patternType="solid">
        <fgColor rgb="FF9CC2E5"/>
        <bgColor rgb="FF9CC2E5"/>
      </patternFill>
    </fill>
    <fill>
      <patternFill patternType="solid">
        <fgColor rgb="FFFFFFFF"/>
        <bgColor rgb="FFFFFFFF"/>
      </patternFill>
    </fill>
    <fill>
      <patternFill patternType="solid">
        <fgColor rgb="FFFFC000"/>
        <bgColor indexed="64"/>
      </patternFill>
    </fill>
    <fill>
      <patternFill patternType="solid">
        <fgColor rgb="FF8EAADB"/>
        <bgColor rgb="FF8EAADB"/>
      </patternFill>
    </fill>
    <fill>
      <patternFill patternType="solid">
        <fgColor theme="4" tint="0.39997558519241921"/>
        <bgColor rgb="FF8EAADB"/>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8" tint="0.39997558519241921"/>
        <bgColor rgb="FFF2F2F2"/>
      </patternFill>
    </fill>
    <fill>
      <patternFill patternType="solid">
        <fgColor theme="6" tint="0.39997558519241921"/>
        <bgColor rgb="FFF2F2F2"/>
      </patternFill>
    </fill>
    <fill>
      <patternFill patternType="solid">
        <fgColor rgb="FFC6EFCE"/>
      </patternFill>
    </fill>
    <fill>
      <patternFill patternType="solid">
        <fgColor theme="9" tint="0.39997558519241921"/>
        <bgColor indexed="64"/>
      </patternFill>
    </fill>
    <fill>
      <patternFill patternType="solid">
        <fgColor theme="5"/>
        <bgColor indexed="64"/>
      </patternFill>
    </fill>
    <fill>
      <patternFill patternType="solid">
        <fgColor rgb="FF00B0F0"/>
        <bgColor indexed="64"/>
      </patternFill>
    </fill>
    <fill>
      <patternFill patternType="solid">
        <fgColor rgb="FFEACA6B"/>
        <bgColor indexed="64"/>
      </patternFill>
    </fill>
    <fill>
      <patternFill patternType="solid">
        <fgColor rgb="FFFFE177"/>
        <bgColor indexed="64"/>
      </patternFill>
    </fill>
    <fill>
      <patternFill patternType="solid">
        <fgColor rgb="FFFDEFBB"/>
        <bgColor indexed="64"/>
      </patternFill>
    </fill>
  </fills>
  <borders count="8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rgb="FF00B050"/>
      </left>
      <right style="thin">
        <color rgb="FF00B050"/>
      </right>
      <top style="thin">
        <color rgb="FF00B050"/>
      </top>
      <bottom style="thin">
        <color rgb="FF00B05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rgb="FF00B050"/>
      </bottom>
      <diagonal/>
    </border>
    <border>
      <left/>
      <right style="thin">
        <color rgb="FF00B050"/>
      </right>
      <top/>
      <bottom style="thin">
        <color rgb="FF00B05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dotted">
        <color indexed="64"/>
      </left>
      <right style="dotted">
        <color indexed="64"/>
      </right>
      <top style="dotted">
        <color indexed="64"/>
      </top>
      <bottom style="dotted">
        <color indexed="64"/>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style="thin">
        <color rgb="FF000000"/>
      </left>
      <right style="medium">
        <color indexed="64"/>
      </right>
      <top style="medium">
        <color rgb="FF000000"/>
      </top>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theme="4"/>
      </top>
      <bottom style="double">
        <color theme="4"/>
      </bottom>
      <diagonal/>
    </border>
    <border>
      <left style="thin">
        <color rgb="FF23919D"/>
      </left>
      <right/>
      <top style="thin">
        <color rgb="FF23919D"/>
      </top>
      <bottom style="thin">
        <color rgb="FF23919D"/>
      </bottom>
      <diagonal/>
    </border>
    <border>
      <left/>
      <right/>
      <top style="thin">
        <color rgb="FF23919D"/>
      </top>
      <bottom style="thin">
        <color rgb="FF23919D"/>
      </bottom>
      <diagonal/>
    </border>
    <border>
      <left/>
      <right style="thin">
        <color rgb="FF23919D"/>
      </right>
      <top style="thin">
        <color rgb="FF23919D"/>
      </top>
      <bottom style="thin">
        <color rgb="FF23919D"/>
      </bottom>
      <diagonal/>
    </border>
    <border>
      <left style="thin">
        <color rgb="FF23919D"/>
      </left>
      <right style="thin">
        <color rgb="FF23919D"/>
      </right>
      <top style="thin">
        <color rgb="FF23919D"/>
      </top>
      <bottom/>
      <diagonal/>
    </border>
    <border>
      <left style="thin">
        <color rgb="FF23919D"/>
      </left>
      <right style="thin">
        <color rgb="FF23919D"/>
      </right>
      <top style="thin">
        <color rgb="FF23919D"/>
      </top>
      <bottom style="thin">
        <color rgb="FF23919D"/>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rgb="FF000000"/>
      </top>
      <bottom/>
      <diagonal/>
    </border>
  </borders>
  <cellStyleXfs count="80">
    <xf numFmtId="0" fontId="0" fillId="0" borderId="0"/>
    <xf numFmtId="41"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8" fillId="2" borderId="1" applyNumberFormat="0" applyAlignment="0" applyProtection="0"/>
    <xf numFmtId="0" fontId="19" fillId="0" borderId="0"/>
    <xf numFmtId="0" fontId="23" fillId="0" borderId="0" applyNumberFormat="0" applyFill="0" applyBorder="0" applyAlignment="0" applyProtection="0"/>
    <xf numFmtId="9" fontId="26" fillId="0" borderId="0" applyFont="0" applyFill="0" applyBorder="0" applyAlignment="0" applyProtection="0"/>
    <xf numFmtId="168" fontId="19" fillId="0" borderId="0" applyFont="0" applyFill="0" applyBorder="0" applyAlignment="0" applyProtection="0"/>
    <xf numFmtId="0" fontId="19" fillId="0" borderId="0"/>
    <xf numFmtId="9" fontId="19" fillId="0" borderId="0" applyFont="0" applyFill="0" applyBorder="0" applyAlignment="0" applyProtection="0"/>
    <xf numFmtId="0" fontId="16" fillId="0" borderId="0"/>
    <xf numFmtId="0" fontId="19" fillId="0" borderId="0"/>
    <xf numFmtId="0" fontId="19" fillId="0" borderId="0"/>
    <xf numFmtId="0" fontId="15" fillId="0" borderId="0"/>
    <xf numFmtId="173" fontId="19" fillId="0" borderId="0" applyFont="0" applyFill="0" applyBorder="0" applyAlignment="0" applyProtection="0"/>
    <xf numFmtId="9" fontId="19" fillId="0" borderId="0" applyFont="0" applyFill="0" applyBorder="0" applyAlignment="0" applyProtection="0"/>
    <xf numFmtId="173" fontId="15" fillId="0" borderId="0" applyFont="0" applyFill="0" applyBorder="0" applyAlignment="0" applyProtection="0"/>
    <xf numFmtId="179" fontId="19" fillId="0" borderId="0" applyFont="0" applyFill="0" applyBorder="0" applyAlignment="0" applyProtection="0"/>
    <xf numFmtId="173" fontId="19" fillId="0" borderId="0" applyFont="0" applyFill="0" applyBorder="0" applyAlignment="0" applyProtection="0"/>
    <xf numFmtId="181" fontId="19" fillId="0" borderId="0" applyFont="0" applyFill="0" applyBorder="0" applyAlignment="0" applyProtection="0"/>
    <xf numFmtId="0" fontId="15" fillId="0" borderId="0"/>
    <xf numFmtId="166" fontId="43" fillId="0" borderId="0" applyFont="0" applyFill="0" applyBorder="0" applyAlignment="0" applyProtection="0"/>
    <xf numFmtId="0" fontId="19" fillId="0" borderId="0"/>
    <xf numFmtId="0" fontId="42" fillId="0" borderId="0"/>
    <xf numFmtId="186"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26" fillId="0" borderId="0"/>
    <xf numFmtId="189" fontId="26" fillId="0" borderId="0" applyFont="0" applyFill="0" applyBorder="0" applyAlignment="0" applyProtection="0"/>
    <xf numFmtId="0" fontId="19" fillId="0" borderId="0"/>
    <xf numFmtId="0" fontId="19" fillId="0" borderId="0"/>
    <xf numFmtId="9" fontId="15" fillId="0" borderId="0" applyFont="0" applyFill="0" applyBorder="0" applyAlignment="0" applyProtection="0"/>
    <xf numFmtId="0" fontId="15" fillId="0" borderId="0"/>
    <xf numFmtId="0" fontId="19" fillId="0" borderId="0"/>
    <xf numFmtId="0" fontId="19" fillId="0" borderId="0"/>
    <xf numFmtId="42" fontId="19" fillId="0" borderId="0" applyFont="0" applyFill="0" applyBorder="0" applyAlignment="0" applyProtection="0"/>
    <xf numFmtId="193" fontId="19" fillId="0" borderId="0" applyFont="0" applyFill="0" applyBorder="0" applyAlignment="0" applyProtection="0"/>
    <xf numFmtId="0" fontId="14" fillId="0" borderId="0"/>
    <xf numFmtId="9" fontId="47" fillId="0" borderId="0" applyFont="0" applyFill="0" applyBorder="0" applyAlignment="0" applyProtection="0"/>
    <xf numFmtId="173" fontId="19" fillId="0" borderId="0" applyFont="0" applyFill="0" applyBorder="0" applyAlignment="0" applyProtection="0"/>
    <xf numFmtId="42" fontId="14"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6" fillId="0" borderId="0"/>
    <xf numFmtId="0" fontId="47" fillId="0" borderId="0"/>
    <xf numFmtId="189" fontId="26" fillId="0" borderId="0" applyFont="0" applyFill="0" applyBorder="0" applyAlignment="0" applyProtection="0"/>
    <xf numFmtId="43" fontId="14" fillId="0" borderId="0" applyFont="0" applyFill="0" applyBorder="0" applyAlignment="0" applyProtection="0"/>
    <xf numFmtId="44" fontId="26" fillId="0" borderId="0" applyFont="0" applyFill="0" applyBorder="0" applyAlignment="0" applyProtection="0"/>
    <xf numFmtId="0" fontId="53" fillId="36" borderId="0" applyNumberFormat="0" applyBorder="0" applyAlignment="0" applyProtection="0"/>
    <xf numFmtId="0" fontId="40" fillId="0" borderId="75" applyNumberFormat="0" applyFill="0" applyAlignment="0" applyProtection="0"/>
    <xf numFmtId="0" fontId="13" fillId="0" borderId="0"/>
    <xf numFmtId="42" fontId="13" fillId="0" borderId="0" applyFont="0" applyFill="0" applyBorder="0" applyAlignment="0" applyProtection="0"/>
    <xf numFmtId="0" fontId="12" fillId="0" borderId="0"/>
    <xf numFmtId="0" fontId="11" fillId="0" borderId="0"/>
    <xf numFmtId="42" fontId="11" fillId="0" borderId="0" applyFont="0" applyFill="0" applyBorder="0" applyAlignment="0" applyProtection="0"/>
    <xf numFmtId="42" fontId="11" fillId="0" borderId="0" applyFont="0" applyFill="0" applyBorder="0" applyAlignment="0" applyProtection="0"/>
    <xf numFmtId="0" fontId="10" fillId="0" borderId="0"/>
    <xf numFmtId="42" fontId="10" fillId="0" borderId="0" applyFont="0" applyFill="0" applyBorder="0" applyAlignment="0" applyProtection="0"/>
    <xf numFmtId="0" fontId="9" fillId="0" borderId="0"/>
    <xf numFmtId="42" fontId="9" fillId="0" borderId="0" applyFont="0" applyFill="0" applyBorder="0" applyAlignment="0" applyProtection="0"/>
    <xf numFmtId="44" fontId="9" fillId="0" borderId="0" applyFont="0" applyFill="0" applyBorder="0" applyAlignment="0" applyProtection="0"/>
    <xf numFmtId="0" fontId="8" fillId="0" borderId="0"/>
    <xf numFmtId="42" fontId="8" fillId="0" borderId="0" applyFont="0" applyFill="0" applyBorder="0" applyAlignment="0" applyProtection="0"/>
    <xf numFmtId="44" fontId="8" fillId="0" borderId="0" applyFont="0" applyFill="0" applyBorder="0" applyAlignment="0" applyProtection="0"/>
    <xf numFmtId="0" fontId="7" fillId="0" borderId="0"/>
    <xf numFmtId="42"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42" fontId="5"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42" fontId="4" fillId="0" borderId="0" applyFont="0" applyFill="0" applyBorder="0" applyAlignment="0" applyProtection="0"/>
    <xf numFmtId="44" fontId="4" fillId="0" borderId="0" applyFont="0" applyFill="0" applyBorder="0" applyAlignment="0" applyProtection="0"/>
    <xf numFmtId="0" fontId="3" fillId="0" borderId="0"/>
    <xf numFmtId="0" fontId="3" fillId="0" borderId="0"/>
    <xf numFmtId="42" fontId="3" fillId="0" borderId="0" applyFont="0" applyFill="0" applyBorder="0" applyAlignment="0" applyProtection="0"/>
    <xf numFmtId="42" fontId="72" fillId="0" borderId="0" applyFont="0" applyFill="0" applyBorder="0" applyAlignment="0" applyProtection="0"/>
  </cellStyleXfs>
  <cellXfs count="594">
    <xf numFmtId="0" fontId="0" fillId="0" borderId="0" xfId="0"/>
    <xf numFmtId="0" fontId="19" fillId="0" borderId="0" xfId="0" applyFont="1" applyAlignment="1">
      <alignment wrapText="1"/>
    </xf>
    <xf numFmtId="0" fontId="19" fillId="0" borderId="0" xfId="0" applyFont="1" applyAlignment="1">
      <alignment horizontal="center" wrapText="1"/>
    </xf>
    <xf numFmtId="0" fontId="0" fillId="0" borderId="0" xfId="0" applyAlignment="1">
      <alignment horizontal="center"/>
    </xf>
    <xf numFmtId="0" fontId="19" fillId="6" borderId="2" xfId="0" applyFont="1" applyFill="1" applyBorder="1" applyAlignment="1">
      <alignment horizontal="center"/>
    </xf>
    <xf numFmtId="0" fontId="19" fillId="6" borderId="2" xfId="0" applyFont="1" applyFill="1" applyBorder="1"/>
    <xf numFmtId="0" fontId="19" fillId="0" borderId="2" xfId="0" applyFont="1" applyBorder="1"/>
    <xf numFmtId="0" fontId="18" fillId="2" borderId="1" xfId="4" applyAlignment="1">
      <alignment horizontal="center"/>
    </xf>
    <xf numFmtId="1" fontId="18" fillId="2" borderId="1" xfId="4" applyNumberFormat="1"/>
    <xf numFmtId="0" fontId="0" fillId="0" borderId="2" xfId="0" applyBorder="1"/>
    <xf numFmtId="164" fontId="0" fillId="0" borderId="2" xfId="0" applyNumberFormat="1" applyBorder="1"/>
    <xf numFmtId="164" fontId="18" fillId="2" borderId="1" xfId="4" applyNumberFormat="1"/>
    <xf numFmtId="0" fontId="0" fillId="5" borderId="2" xfId="0" applyFill="1" applyBorder="1"/>
    <xf numFmtId="0" fontId="19" fillId="6" borderId="0" xfId="0" applyFont="1" applyFill="1" applyAlignment="1">
      <alignment horizontal="center"/>
    </xf>
    <xf numFmtId="0" fontId="19" fillId="7" borderId="4" xfId="0" applyFont="1" applyFill="1" applyBorder="1" applyAlignment="1">
      <alignment horizontal="center"/>
    </xf>
    <xf numFmtId="0" fontId="19" fillId="7" borderId="4" xfId="0" applyFont="1" applyFill="1" applyBorder="1"/>
    <xf numFmtId="1" fontId="18" fillId="2" borderId="2" xfId="4" applyNumberFormat="1"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xf>
    <xf numFmtId="3" fontId="19" fillId="0" borderId="2" xfId="5" applyNumberFormat="1" applyBorder="1" applyAlignment="1">
      <alignment horizontal="left"/>
    </xf>
    <xf numFmtId="0" fontId="22" fillId="9" borderId="5" xfId="0" applyFont="1" applyFill="1" applyBorder="1" applyAlignment="1">
      <alignment vertical="center"/>
    </xf>
    <xf numFmtId="42" fontId="0" fillId="0" borderId="5" xfId="0" applyNumberFormat="1" applyBorder="1" applyAlignment="1">
      <alignment horizontal="center" vertical="center"/>
    </xf>
    <xf numFmtId="0" fontId="0" fillId="0" borderId="5" xfId="0" applyBorder="1" applyAlignment="1">
      <alignment horizontal="center"/>
    </xf>
    <xf numFmtId="42" fontId="0" fillId="0" borderId="5" xfId="0" applyNumberFormat="1" applyBorder="1" applyAlignment="1">
      <alignment vertical="center"/>
    </xf>
    <xf numFmtId="0" fontId="23" fillId="0" borderId="0" xfId="6" applyAlignment="1">
      <alignment horizontal="center"/>
    </xf>
    <xf numFmtId="0" fontId="23" fillId="0" borderId="5" xfId="6" applyBorder="1" applyAlignment="1">
      <alignment horizontal="center"/>
    </xf>
    <xf numFmtId="0" fontId="19" fillId="0" borderId="0" xfId="0" applyFont="1"/>
    <xf numFmtId="165" fontId="0" fillId="10" borderId="2" xfId="0" applyNumberFormat="1" applyFill="1" applyBorder="1"/>
    <xf numFmtId="165" fontId="18" fillId="10" borderId="2" xfId="4" applyNumberFormat="1" applyFill="1" applyBorder="1"/>
    <xf numFmtId="9" fontId="18" fillId="2" borderId="2" xfId="4" applyNumberFormat="1" applyBorder="1"/>
    <xf numFmtId="0" fontId="19" fillId="0" borderId="2" xfId="0" applyFont="1" applyBorder="1" applyAlignment="1">
      <alignment horizontal="center" vertical="center"/>
    </xf>
    <xf numFmtId="2" fontId="0" fillId="0" borderId="0" xfId="0" applyNumberFormat="1" applyAlignment="1">
      <alignment horizontal="center"/>
    </xf>
    <xf numFmtId="165" fontId="18" fillId="2" borderId="2" xfId="4" applyNumberFormat="1" applyBorder="1"/>
    <xf numFmtId="165" fontId="0" fillId="0" borderId="2" xfId="0" applyNumberFormat="1" applyBorder="1"/>
    <xf numFmtId="9" fontId="0" fillId="0" borderId="2" xfId="0" applyNumberFormat="1" applyBorder="1"/>
    <xf numFmtId="0" fontId="23" fillId="0" borderId="2" xfId="6" applyBorder="1"/>
    <xf numFmtId="17" fontId="19" fillId="0" borderId="2" xfId="0" applyNumberFormat="1" applyFont="1" applyBorder="1" applyAlignment="1">
      <alignment horizontal="center"/>
    </xf>
    <xf numFmtId="165" fontId="0" fillId="0" borderId="2" xfId="0" applyNumberFormat="1" applyBorder="1" applyAlignment="1">
      <alignment vertical="center"/>
    </xf>
    <xf numFmtId="17" fontId="23" fillId="0" borderId="2" xfId="6" applyNumberFormat="1" applyBorder="1" applyAlignment="1">
      <alignment horizontal="left"/>
    </xf>
    <xf numFmtId="0" fontId="19" fillId="0" borderId="0" xfId="0" applyFont="1" applyAlignment="1">
      <alignment vertical="center"/>
    </xf>
    <xf numFmtId="165" fontId="0" fillId="0" borderId="0" xfId="0" applyNumberFormat="1" applyAlignment="1">
      <alignment horizontal="right" vertical="center"/>
    </xf>
    <xf numFmtId="9" fontId="0" fillId="0" borderId="0" xfId="0" applyNumberFormat="1" applyAlignment="1">
      <alignment horizontal="right"/>
    </xf>
    <xf numFmtId="165" fontId="0" fillId="0" borderId="0" xfId="0" applyNumberFormat="1"/>
    <xf numFmtId="0" fontId="23" fillId="0" borderId="0" xfId="6" applyBorder="1"/>
    <xf numFmtId="17" fontId="19" fillId="0" borderId="0" xfId="0" applyNumberFormat="1" applyFont="1" applyAlignment="1">
      <alignment horizontal="center"/>
    </xf>
    <xf numFmtId="0" fontId="0" fillId="0" borderId="0" xfId="0" applyAlignment="1">
      <alignment vertical="center"/>
    </xf>
    <xf numFmtId="0" fontId="19" fillId="0" borderId="0" xfId="0" applyFont="1" applyAlignment="1">
      <alignment horizontal="right"/>
    </xf>
    <xf numFmtId="0" fontId="19" fillId="0" borderId="0" xfId="0" applyFont="1" applyAlignment="1">
      <alignment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justify" vertical="center" wrapText="1"/>
    </xf>
    <xf numFmtId="3" fontId="19" fillId="0" borderId="2" xfId="0" applyNumberFormat="1" applyFont="1" applyBorder="1" applyAlignment="1">
      <alignment horizontal="center" vertical="center" wrapText="1"/>
    </xf>
    <xf numFmtId="166" fontId="19" fillId="0" borderId="2" xfId="0" applyNumberFormat="1" applyFont="1" applyBorder="1" applyAlignment="1">
      <alignment horizontal="right" vertical="center" wrapText="1"/>
    </xf>
    <xf numFmtId="44" fontId="19" fillId="0" borderId="0" xfId="0" applyNumberFormat="1" applyFont="1" applyAlignment="1">
      <alignment vertical="center"/>
    </xf>
    <xf numFmtId="166" fontId="22" fillId="11" borderId="2" xfId="0" applyNumberFormat="1" applyFont="1" applyFill="1" applyBorder="1" applyAlignment="1">
      <alignment horizontal="right" vertical="center"/>
    </xf>
    <xf numFmtId="10" fontId="22" fillId="0" borderId="2" xfId="0" applyNumberFormat="1" applyFont="1" applyBorder="1" applyAlignment="1">
      <alignment horizontal="center" vertical="center"/>
    </xf>
    <xf numFmtId="166" fontId="22" fillId="0" borderId="2" xfId="0" applyNumberFormat="1" applyFont="1" applyBorder="1" applyAlignment="1">
      <alignment horizontal="right" vertical="center"/>
    </xf>
    <xf numFmtId="166" fontId="22" fillId="12" borderId="2" xfId="0" applyNumberFormat="1" applyFont="1" applyFill="1" applyBorder="1" applyAlignment="1">
      <alignment horizontal="right" vertical="center"/>
    </xf>
    <xf numFmtId="41" fontId="22" fillId="0" borderId="2" xfId="1" applyFont="1" applyFill="1" applyBorder="1" applyAlignment="1">
      <alignment horizontal="right" vertical="center"/>
    </xf>
    <xf numFmtId="167" fontId="22" fillId="0" borderId="2" xfId="3" applyNumberFormat="1" applyFont="1" applyFill="1" applyBorder="1" applyAlignment="1">
      <alignment horizontal="right" vertical="center"/>
    </xf>
    <xf numFmtId="166" fontId="22" fillId="14" borderId="2" xfId="0" applyNumberFormat="1" applyFont="1" applyFill="1" applyBorder="1" applyAlignment="1">
      <alignment horizontal="right" vertical="center"/>
    </xf>
    <xf numFmtId="167" fontId="22" fillId="0" borderId="2" xfId="0" applyNumberFormat="1" applyFont="1" applyBorder="1" applyAlignment="1">
      <alignment horizontal="center" vertical="center"/>
    </xf>
    <xf numFmtId="0" fontId="22" fillId="15" borderId="2" xfId="0" applyFont="1" applyFill="1" applyBorder="1" applyAlignment="1">
      <alignment horizontal="right" vertical="center"/>
    </xf>
    <xf numFmtId="166" fontId="22" fillId="15" borderId="2" xfId="0" applyNumberFormat="1" applyFont="1" applyFill="1" applyBorder="1" applyAlignment="1">
      <alignment horizontal="right" vertical="center"/>
    </xf>
    <xf numFmtId="166" fontId="22" fillId="15" borderId="8" xfId="0" applyNumberFormat="1" applyFont="1" applyFill="1" applyBorder="1" applyAlignment="1">
      <alignment horizontal="right" vertical="center"/>
    </xf>
    <xf numFmtId="169" fontId="0" fillId="0" borderId="0" xfId="2" applyNumberFormat="1" applyFont="1"/>
    <xf numFmtId="0" fontId="19" fillId="0" borderId="0" xfId="5"/>
    <xf numFmtId="0" fontId="22" fillId="0" borderId="0" xfId="5" applyFont="1" applyAlignment="1">
      <alignment vertical="center" wrapText="1"/>
    </xf>
    <xf numFmtId="0" fontId="22" fillId="0" borderId="0" xfId="5" quotePrefix="1" applyFont="1" applyAlignment="1">
      <alignment vertical="center" wrapText="1"/>
    </xf>
    <xf numFmtId="0" fontId="22" fillId="0" borderId="0" xfId="5" applyFont="1" applyAlignment="1">
      <alignment horizontal="left" vertical="center"/>
    </xf>
    <xf numFmtId="0" fontId="22" fillId="0" borderId="16" xfId="5" applyFont="1" applyBorder="1" applyAlignment="1">
      <alignment horizontal="center" vertical="center"/>
    </xf>
    <xf numFmtId="0" fontId="22" fillId="0" borderId="0" xfId="5" quotePrefix="1" applyFont="1" applyAlignment="1">
      <alignment horizontal="left"/>
    </xf>
    <xf numFmtId="0" fontId="22" fillId="0" borderId="0" xfId="5" applyFont="1" applyAlignment="1">
      <alignment horizontal="right"/>
    </xf>
    <xf numFmtId="0" fontId="22" fillId="0" borderId="16" xfId="5" applyFont="1" applyBorder="1"/>
    <xf numFmtId="0" fontId="22" fillId="0" borderId="13" xfId="5" applyFont="1" applyBorder="1" applyAlignment="1">
      <alignment horizontal="center"/>
    </xf>
    <xf numFmtId="0" fontId="22" fillId="0" borderId="16" xfId="5" applyFont="1" applyBorder="1" applyAlignment="1">
      <alignment horizontal="center"/>
    </xf>
    <xf numFmtId="0" fontId="19" fillId="0" borderId="13" xfId="5" applyBorder="1" applyAlignment="1">
      <alignment horizontal="justify" vertical="center"/>
    </xf>
    <xf numFmtId="0" fontId="19" fillId="0" borderId="16" xfId="5" applyBorder="1" applyAlignment="1">
      <alignment horizontal="center" vertical="center"/>
    </xf>
    <xf numFmtId="3" fontId="19" fillId="0" borderId="16" xfId="5" applyNumberFormat="1" applyBorder="1" applyAlignment="1">
      <alignment horizontal="center" vertical="center"/>
    </xf>
    <xf numFmtId="170" fontId="19" fillId="0" borderId="16" xfId="5" applyNumberFormat="1" applyBorder="1" applyAlignment="1">
      <alignment horizontal="justify" vertical="center"/>
    </xf>
    <xf numFmtId="0" fontId="19" fillId="0" borderId="13" xfId="5" applyBorder="1" applyAlignment="1">
      <alignment horizontal="left"/>
    </xf>
    <xf numFmtId="0" fontId="19" fillId="0" borderId="16" xfId="5" applyBorder="1" applyAlignment="1">
      <alignment horizontal="center"/>
    </xf>
    <xf numFmtId="3" fontId="19" fillId="0" borderId="16" xfId="5" applyNumberFormat="1" applyBorder="1" applyAlignment="1">
      <alignment horizontal="center"/>
    </xf>
    <xf numFmtId="4" fontId="19" fillId="0" borderId="16" xfId="5" applyNumberFormat="1" applyBorder="1" applyAlignment="1">
      <alignment horizontal="right"/>
    </xf>
    <xf numFmtId="0" fontId="22" fillId="0" borderId="0" xfId="5" applyFont="1"/>
    <xf numFmtId="0" fontId="22" fillId="0" borderId="16" xfId="5" applyFont="1" applyBorder="1" applyAlignment="1">
      <alignment horizontal="right"/>
    </xf>
    <xf numFmtId="170" fontId="22" fillId="0" borderId="16" xfId="5" applyNumberFormat="1" applyFont="1" applyBorder="1" applyAlignment="1">
      <alignment horizontal="right"/>
    </xf>
    <xf numFmtId="0" fontId="22" fillId="0" borderId="17" xfId="5" applyFont="1" applyBorder="1"/>
    <xf numFmtId="170" fontId="19" fillId="0" borderId="16" xfId="5" applyNumberFormat="1" applyBorder="1" applyAlignment="1">
      <alignment horizontal="right"/>
    </xf>
    <xf numFmtId="4" fontId="19" fillId="0" borderId="16" xfId="5" applyNumberFormat="1" applyBorder="1" applyAlignment="1">
      <alignment horizontal="center"/>
    </xf>
    <xf numFmtId="3" fontId="19" fillId="0" borderId="16" xfId="5" applyNumberFormat="1" applyBorder="1" applyAlignment="1">
      <alignment horizontal="right"/>
    </xf>
    <xf numFmtId="3" fontId="19" fillId="0" borderId="0" xfId="5" applyNumberFormat="1" applyAlignment="1">
      <alignment horizontal="right"/>
    </xf>
    <xf numFmtId="3" fontId="19" fillId="0" borderId="0" xfId="5" applyNumberFormat="1"/>
    <xf numFmtId="3" fontId="22" fillId="0" borderId="16" xfId="5" applyNumberFormat="1" applyFont="1" applyBorder="1" applyAlignment="1">
      <alignment horizontal="center"/>
    </xf>
    <xf numFmtId="0" fontId="19" fillId="0" borderId="16" xfId="5" applyBorder="1" applyAlignment="1">
      <alignment horizontal="justify" vertical="center" wrapText="1"/>
    </xf>
    <xf numFmtId="170" fontId="19" fillId="0" borderId="16" xfId="8" applyNumberFormat="1" applyBorder="1" applyAlignment="1">
      <alignment horizontal="center" vertical="center"/>
    </xf>
    <xf numFmtId="4" fontId="19" fillId="0" borderId="16" xfId="5" applyNumberFormat="1" applyBorder="1" applyAlignment="1">
      <alignment horizontal="center" vertical="center"/>
    </xf>
    <xf numFmtId="0" fontId="22" fillId="0" borderId="18" xfId="5" applyFont="1" applyBorder="1" applyAlignment="1">
      <alignment horizontal="right"/>
    </xf>
    <xf numFmtId="3" fontId="19" fillId="0" borderId="0" xfId="5" applyNumberFormat="1" applyAlignment="1">
      <alignment horizontal="center" vertical="center"/>
    </xf>
    <xf numFmtId="0" fontId="19" fillId="0" borderId="0" xfId="5" applyAlignment="1">
      <alignment horizontal="center" vertical="center"/>
    </xf>
    <xf numFmtId="0" fontId="19" fillId="0" borderId="16" xfId="5" applyBorder="1" applyAlignment="1">
      <alignment horizontal="left"/>
    </xf>
    <xf numFmtId="170" fontId="19" fillId="0" borderId="16" xfId="5" applyNumberFormat="1" applyBorder="1" applyAlignment="1">
      <alignment horizontal="center"/>
    </xf>
    <xf numFmtId="170" fontId="22" fillId="0" borderId="16" xfId="5" applyNumberFormat="1" applyFont="1" applyBorder="1" applyAlignment="1">
      <alignment horizontal="right" vertical="center"/>
    </xf>
    <xf numFmtId="0" fontId="29" fillId="0" borderId="0" xfId="9" applyFont="1"/>
    <xf numFmtId="0" fontId="29" fillId="0" borderId="0" xfId="9" quotePrefix="1" applyFont="1" applyAlignment="1">
      <alignment horizontal="left"/>
    </xf>
    <xf numFmtId="0" fontId="19" fillId="0" borderId="13" xfId="5" quotePrefix="1" applyBorder="1" applyAlignment="1">
      <alignment horizontal="left" vertical="center" wrapText="1"/>
    </xf>
    <xf numFmtId="0" fontId="19" fillId="0" borderId="16" xfId="5" applyBorder="1"/>
    <xf numFmtId="171" fontId="19" fillId="0" borderId="16" xfId="5" applyNumberFormat="1" applyBorder="1" applyAlignment="1">
      <alignment horizontal="center"/>
    </xf>
    <xf numFmtId="0" fontId="19" fillId="0" borderId="16" xfId="0" applyFont="1" applyBorder="1" applyAlignment="1">
      <alignment horizontal="center"/>
    </xf>
    <xf numFmtId="170" fontId="19" fillId="0" borderId="0" xfId="5" applyNumberFormat="1"/>
    <xf numFmtId="172" fontId="19" fillId="0" borderId="0" xfId="5" applyNumberFormat="1"/>
    <xf numFmtId="170" fontId="22" fillId="0" borderId="18" xfId="5" applyNumberFormat="1" applyFont="1" applyBorder="1" applyAlignment="1">
      <alignment horizontal="right"/>
    </xf>
    <xf numFmtId="0" fontId="19" fillId="0" borderId="19" xfId="0" applyFont="1" applyBorder="1"/>
    <xf numFmtId="0" fontId="0" fillId="0" borderId="20" xfId="0" applyBorder="1"/>
    <xf numFmtId="10" fontId="0" fillId="0" borderId="21" xfId="0" applyNumberFormat="1" applyBorder="1"/>
    <xf numFmtId="0" fontId="0" fillId="0" borderId="19" xfId="0" applyBorder="1"/>
    <xf numFmtId="0" fontId="22" fillId="5" borderId="19" xfId="0" applyFont="1" applyFill="1" applyBorder="1"/>
    <xf numFmtId="0" fontId="0" fillId="5" borderId="20" xfId="0" applyFill="1" applyBorder="1"/>
    <xf numFmtId="0" fontId="0" fillId="5" borderId="21" xfId="0" applyFill="1" applyBorder="1"/>
    <xf numFmtId="0" fontId="22" fillId="5" borderId="20" xfId="0" applyFont="1" applyFill="1" applyBorder="1"/>
    <xf numFmtId="0" fontId="22" fillId="5" borderId="21" xfId="0" applyFont="1" applyFill="1" applyBorder="1"/>
    <xf numFmtId="0" fontId="22" fillId="9" borderId="19" xfId="0" applyFont="1" applyFill="1" applyBorder="1"/>
    <xf numFmtId="0" fontId="22" fillId="9" borderId="20" xfId="0" applyFont="1" applyFill="1" applyBorder="1"/>
    <xf numFmtId="10" fontId="22" fillId="9" borderId="21" xfId="0" applyNumberFormat="1" applyFont="1" applyFill="1" applyBorder="1"/>
    <xf numFmtId="0" fontId="31" fillId="0" borderId="0" xfId="9" applyFont="1"/>
    <xf numFmtId="167" fontId="31" fillId="0" borderId="0" xfId="9" applyNumberFormat="1" applyFont="1"/>
    <xf numFmtId="0" fontId="31" fillId="17" borderId="0" xfId="9" applyFont="1" applyFill="1"/>
    <xf numFmtId="0" fontId="24" fillId="0" borderId="0" xfId="9" applyFont="1" applyAlignment="1">
      <alignment horizontal="center"/>
    </xf>
    <xf numFmtId="167" fontId="24" fillId="0" borderId="0" xfId="9" applyNumberFormat="1" applyFont="1" applyAlignment="1">
      <alignment horizontal="center"/>
    </xf>
    <xf numFmtId="0" fontId="31" fillId="10" borderId="0" xfId="9" applyFont="1" applyFill="1" applyAlignment="1">
      <alignment horizontal="center" vertical="center"/>
    </xf>
    <xf numFmtId="0" fontId="31" fillId="10" borderId="0" xfId="9" applyFont="1" applyFill="1" applyAlignment="1">
      <alignment horizontal="center" vertical="center" wrapText="1"/>
    </xf>
    <xf numFmtId="165" fontId="31" fillId="10" borderId="0" xfId="9" applyNumberFormat="1" applyFont="1" applyFill="1" applyAlignment="1">
      <alignment horizontal="center"/>
    </xf>
    <xf numFmtId="165" fontId="31" fillId="10" borderId="0" xfId="9" applyNumberFormat="1" applyFont="1" applyFill="1" applyAlignment="1">
      <alignment horizontal="center" vertical="center"/>
    </xf>
    <xf numFmtId="167" fontId="32" fillId="10" borderId="0" xfId="10" applyNumberFormat="1" applyFont="1" applyFill="1" applyBorder="1" applyAlignment="1">
      <alignment horizontal="center" vertical="center"/>
    </xf>
    <xf numFmtId="0" fontId="31" fillId="10" borderId="0" xfId="9" applyFont="1" applyFill="1"/>
    <xf numFmtId="0" fontId="31" fillId="10" borderId="0" xfId="9" applyFont="1" applyFill="1" applyAlignment="1">
      <alignment horizontal="center"/>
    </xf>
    <xf numFmtId="0" fontId="31" fillId="18" borderId="0" xfId="9" applyFont="1" applyFill="1" applyAlignment="1">
      <alignment horizontal="center" vertical="center"/>
    </xf>
    <xf numFmtId="0" fontId="31" fillId="18" borderId="0" xfId="9" applyFont="1" applyFill="1" applyAlignment="1">
      <alignment horizontal="center" vertical="center" wrapText="1"/>
    </xf>
    <xf numFmtId="0" fontId="31" fillId="18" borderId="0" xfId="9" applyFont="1" applyFill="1" applyAlignment="1">
      <alignment horizontal="center"/>
    </xf>
    <xf numFmtId="165" fontId="31" fillId="18" borderId="0" xfId="9" applyNumberFormat="1" applyFont="1" applyFill="1" applyAlignment="1">
      <alignment horizontal="center"/>
    </xf>
    <xf numFmtId="165" fontId="31" fillId="18" borderId="0" xfId="9" applyNumberFormat="1" applyFont="1" applyFill="1" applyAlignment="1">
      <alignment horizontal="center" vertical="center"/>
    </xf>
    <xf numFmtId="167" fontId="32" fillId="18" borderId="0" xfId="10" applyNumberFormat="1" applyFont="1" applyFill="1" applyBorder="1" applyAlignment="1">
      <alignment horizontal="center" vertical="center"/>
    </xf>
    <xf numFmtId="0" fontId="31" fillId="18" borderId="0" xfId="9" applyFont="1" applyFill="1"/>
    <xf numFmtId="167" fontId="36" fillId="10" borderId="0" xfId="10" applyNumberFormat="1" applyFont="1" applyFill="1" applyBorder="1" applyAlignment="1">
      <alignment horizontal="center" vertical="center"/>
    </xf>
    <xf numFmtId="0" fontId="19" fillId="0" borderId="22" xfId="5" applyBorder="1"/>
    <xf numFmtId="0" fontId="18" fillId="2" borderId="1" xfId="4" applyAlignment="1">
      <alignment horizontal="center" vertical="center"/>
    </xf>
    <xf numFmtId="0" fontId="31" fillId="0" borderId="0" xfId="9" applyFont="1" applyAlignment="1">
      <alignment horizontal="center" vertical="center"/>
    </xf>
    <xf numFmtId="165" fontId="31" fillId="0" borderId="0" xfId="9" applyNumberFormat="1" applyFont="1" applyAlignment="1">
      <alignment horizontal="center" vertical="center"/>
    </xf>
    <xf numFmtId="0" fontId="22" fillId="9" borderId="21" xfId="0" applyFont="1" applyFill="1" applyBorder="1" applyAlignment="1">
      <alignment horizontal="center" vertical="center"/>
    </xf>
    <xf numFmtId="17" fontId="19" fillId="0" borderId="19" xfId="0" applyNumberFormat="1" applyFont="1" applyBorder="1" applyAlignment="1">
      <alignment horizontal="center"/>
    </xf>
    <xf numFmtId="0" fontId="22" fillId="5" borderId="10"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3" xfId="0" applyFont="1" applyFill="1" applyBorder="1" applyAlignment="1">
      <alignment horizontal="center"/>
    </xf>
    <xf numFmtId="0" fontId="22" fillId="5" borderId="24" xfId="0" applyFont="1" applyFill="1" applyBorder="1" applyAlignment="1">
      <alignment horizontal="center"/>
    </xf>
    <xf numFmtId="0" fontId="22" fillId="9" borderId="25" xfId="0" applyFont="1" applyFill="1" applyBorder="1" applyAlignment="1">
      <alignment horizontal="center" vertical="center"/>
    </xf>
    <xf numFmtId="0" fontId="22" fillId="9" borderId="26" xfId="0" applyFont="1" applyFill="1" applyBorder="1" applyAlignment="1">
      <alignment vertical="center"/>
    </xf>
    <xf numFmtId="42" fontId="0" fillId="0" borderId="26" xfId="0" applyNumberFormat="1" applyBorder="1" applyAlignment="1">
      <alignment vertical="center"/>
    </xf>
    <xf numFmtId="0" fontId="0" fillId="0" borderId="26" xfId="0" applyBorder="1" applyAlignment="1">
      <alignment horizontal="center"/>
    </xf>
    <xf numFmtId="17" fontId="19" fillId="0" borderId="27" xfId="0" applyNumberFormat="1" applyFont="1" applyBorder="1" applyAlignment="1">
      <alignment horizontal="center"/>
    </xf>
    <xf numFmtId="0" fontId="22" fillId="9" borderId="21" xfId="0" applyFont="1" applyFill="1" applyBorder="1" applyAlignment="1">
      <alignment horizontal="left"/>
    </xf>
    <xf numFmtId="0" fontId="22" fillId="5" borderId="24" xfId="0" applyFont="1" applyFill="1" applyBorder="1" applyAlignment="1">
      <alignment horizontal="center" vertical="center"/>
    </xf>
    <xf numFmtId="0" fontId="22" fillId="9" borderId="25" xfId="0" applyFont="1" applyFill="1" applyBorder="1" applyAlignment="1">
      <alignment horizontal="left"/>
    </xf>
    <xf numFmtId="0" fontId="31" fillId="0" borderId="0" xfId="9" applyFont="1" applyAlignment="1">
      <alignment horizontal="center" vertical="center" wrapText="1"/>
    </xf>
    <xf numFmtId="174" fontId="19" fillId="0" borderId="16" xfId="5" applyNumberFormat="1" applyBorder="1" applyAlignment="1">
      <alignment horizontal="center" vertical="center"/>
    </xf>
    <xf numFmtId="0" fontId="19" fillId="0" borderId="11" xfId="0" applyFont="1" applyBorder="1" applyAlignment="1">
      <alignment horizontal="justify" vertical="center" wrapText="1"/>
    </xf>
    <xf numFmtId="0" fontId="18" fillId="2" borderId="16" xfId="4" applyBorder="1" applyAlignment="1">
      <alignment horizontal="center" vertical="center"/>
    </xf>
    <xf numFmtId="3" fontId="18" fillId="0" borderId="16" xfId="4" applyNumberFormat="1" applyFill="1" applyBorder="1" applyAlignment="1">
      <alignment horizontal="center" vertical="center"/>
    </xf>
    <xf numFmtId="10" fontId="22" fillId="0" borderId="2" xfId="7" applyNumberFormat="1" applyFont="1" applyFill="1" applyBorder="1" applyAlignment="1">
      <alignment horizontal="center" vertical="center" wrapText="1"/>
    </xf>
    <xf numFmtId="0" fontId="41" fillId="0" borderId="0" xfId="38" applyFont="1"/>
    <xf numFmtId="166" fontId="22" fillId="0" borderId="2" xfId="0" applyNumberFormat="1" applyFont="1" applyBorder="1" applyAlignment="1">
      <alignment horizontal="right" vertical="center" wrapText="1"/>
    </xf>
    <xf numFmtId="10" fontId="0" fillId="0" borderId="0" xfId="0" applyNumberFormat="1" applyAlignment="1">
      <alignment vertical="center"/>
    </xf>
    <xf numFmtId="0" fontId="19" fillId="0" borderId="0" xfId="23"/>
    <xf numFmtId="0" fontId="19" fillId="0" borderId="2" xfId="23" applyBorder="1" applyAlignment="1">
      <alignment horizontal="center" vertical="center"/>
    </xf>
    <xf numFmtId="0" fontId="0" fillId="0" borderId="2" xfId="0" applyBorder="1" applyAlignment="1">
      <alignment horizontal="center" vertical="center"/>
    </xf>
    <xf numFmtId="44" fontId="0" fillId="0" borderId="2" xfId="2" applyFont="1" applyBorder="1"/>
    <xf numFmtId="44" fontId="0" fillId="0" borderId="2" xfId="0" applyNumberFormat="1" applyBorder="1"/>
    <xf numFmtId="3" fontId="19" fillId="0" borderId="2" xfId="23" applyNumberFormat="1" applyBorder="1" applyAlignment="1">
      <alignment horizontal="center" vertical="center"/>
    </xf>
    <xf numFmtId="0" fontId="19" fillId="9" borderId="2" xfId="23" applyFill="1" applyBorder="1" applyAlignment="1">
      <alignment horizontal="center" vertical="center"/>
    </xf>
    <xf numFmtId="0" fontId="19" fillId="9" borderId="2" xfId="0" applyFont="1" applyFill="1" applyBorder="1" applyAlignment="1">
      <alignment horizontal="center" vertical="center"/>
    </xf>
    <xf numFmtId="44" fontId="22" fillId="24" borderId="2" xfId="0" applyNumberFormat="1" applyFont="1" applyFill="1" applyBorder="1"/>
    <xf numFmtId="0" fontId="22" fillId="16" borderId="2" xfId="23" applyFont="1" applyFill="1" applyBorder="1"/>
    <xf numFmtId="0" fontId="26" fillId="0" borderId="0" xfId="44"/>
    <xf numFmtId="0" fontId="51" fillId="20" borderId="49" xfId="44" applyFont="1" applyFill="1" applyBorder="1" applyAlignment="1">
      <alignment horizontal="center" vertical="center" wrapText="1"/>
    </xf>
    <xf numFmtId="0" fontId="26" fillId="0" borderId="0" xfId="44" applyAlignment="1">
      <alignment wrapText="1"/>
    </xf>
    <xf numFmtId="0" fontId="51" fillId="27" borderId="29" xfId="44" applyFont="1" applyFill="1" applyBorder="1" applyAlignment="1">
      <alignment horizontal="center" vertical="center"/>
    </xf>
    <xf numFmtId="0" fontId="47" fillId="28" borderId="0" xfId="44" applyFont="1" applyFill="1" applyAlignment="1">
      <alignment vertical="center"/>
    </xf>
    <xf numFmtId="0" fontId="47" fillId="0" borderId="36" xfId="45" applyBorder="1" applyAlignment="1">
      <alignment horizontal="center" vertical="center"/>
    </xf>
    <xf numFmtId="0" fontId="41" fillId="28" borderId="2" xfId="44" applyFont="1" applyFill="1" applyBorder="1" applyAlignment="1">
      <alignment horizontal="left" vertical="center" wrapText="1"/>
    </xf>
    <xf numFmtId="0" fontId="47" fillId="0" borderId="2" xfId="44" applyFont="1" applyBorder="1" applyAlignment="1">
      <alignment horizontal="center" vertical="center"/>
    </xf>
    <xf numFmtId="0" fontId="51" fillId="11" borderId="44" xfId="44" applyFont="1" applyFill="1" applyBorder="1" applyAlignment="1">
      <alignment horizontal="center" vertical="center"/>
    </xf>
    <xf numFmtId="0" fontId="47" fillId="11" borderId="45" xfId="44" applyFont="1" applyFill="1" applyBorder="1" applyAlignment="1">
      <alignment horizontal="center" vertical="center"/>
    </xf>
    <xf numFmtId="189" fontId="47" fillId="11" borderId="45" xfId="46" applyFont="1" applyFill="1" applyBorder="1" applyAlignment="1">
      <alignment horizontal="center" vertical="center"/>
    </xf>
    <xf numFmtId="0" fontId="51" fillId="27" borderId="30" xfId="44" applyFont="1" applyFill="1" applyBorder="1" applyAlignment="1">
      <alignment horizontal="center" vertical="center"/>
    </xf>
    <xf numFmtId="169" fontId="19" fillId="0" borderId="2" xfId="47" applyNumberFormat="1" applyFont="1" applyBorder="1" applyAlignment="1">
      <alignment horizontal="center" vertical="center" wrapText="1"/>
    </xf>
    <xf numFmtId="189" fontId="46" fillId="0" borderId="2" xfId="46" applyFont="1" applyFill="1" applyBorder="1" applyAlignment="1">
      <alignment horizontal="right" vertical="center"/>
    </xf>
    <xf numFmtId="189" fontId="52" fillId="27" borderId="0" xfId="46" applyFont="1" applyFill="1" applyBorder="1" applyAlignment="1">
      <alignment horizontal="right" vertical="center"/>
    </xf>
    <xf numFmtId="0" fontId="19" fillId="0" borderId="2" xfId="44" applyFont="1" applyBorder="1" applyAlignment="1">
      <alignment horizontal="justify" vertical="center" wrapText="1"/>
    </xf>
    <xf numFmtId="0" fontId="41" fillId="28" borderId="34" xfId="44" applyFont="1" applyFill="1" applyBorder="1" applyAlignment="1">
      <alignment horizontal="left" vertical="center" wrapText="1"/>
    </xf>
    <xf numFmtId="0" fontId="47" fillId="0" borderId="36" xfId="44" applyFont="1" applyBorder="1" applyAlignment="1">
      <alignment horizontal="center" vertical="center"/>
    </xf>
    <xf numFmtId="0" fontId="47" fillId="0" borderId="38" xfId="44" applyFont="1" applyBorder="1" applyAlignment="1">
      <alignment horizontal="center" vertical="center"/>
    </xf>
    <xf numFmtId="0" fontId="41" fillId="28" borderId="39" xfId="44" applyFont="1" applyFill="1" applyBorder="1" applyAlignment="1">
      <alignment horizontal="left" vertical="center" wrapText="1"/>
    </xf>
    <xf numFmtId="189" fontId="47" fillId="19" borderId="43" xfId="46" applyFont="1" applyFill="1" applyBorder="1" applyAlignment="1">
      <alignment horizontal="right" vertical="center"/>
    </xf>
    <xf numFmtId="189" fontId="26" fillId="0" borderId="0" xfId="44" applyNumberFormat="1"/>
    <xf numFmtId="189" fontId="47" fillId="19" borderId="2" xfId="46" applyFont="1" applyFill="1" applyBorder="1" applyAlignment="1">
      <alignment horizontal="right" vertical="center"/>
    </xf>
    <xf numFmtId="189" fontId="52" fillId="30" borderId="7" xfId="46" applyFont="1" applyFill="1" applyBorder="1" applyAlignment="1">
      <alignment horizontal="right" vertical="center"/>
    </xf>
    <xf numFmtId="0" fontId="47" fillId="28" borderId="2" xfId="44" applyFont="1" applyFill="1" applyBorder="1" applyAlignment="1">
      <alignment vertical="center"/>
    </xf>
    <xf numFmtId="10" fontId="47" fillId="28" borderId="2" xfId="7" applyNumberFormat="1" applyFont="1" applyFill="1" applyBorder="1" applyAlignment="1">
      <alignment vertical="center"/>
    </xf>
    <xf numFmtId="0" fontId="51" fillId="0" borderId="0" xfId="44" applyFont="1" applyAlignment="1">
      <alignment horizontal="right" vertical="center"/>
    </xf>
    <xf numFmtId="0" fontId="35" fillId="0" borderId="0" xfId="44" applyFont="1"/>
    <xf numFmtId="0" fontId="29" fillId="0" borderId="0" xfId="44" applyFont="1"/>
    <xf numFmtId="0" fontId="29" fillId="0" borderId="0" xfId="44" quotePrefix="1" applyFont="1" applyAlignment="1">
      <alignment horizontal="left"/>
    </xf>
    <xf numFmtId="0" fontId="26" fillId="0" borderId="0" xfId="45" applyFont="1"/>
    <xf numFmtId="0" fontId="51" fillId="27" borderId="28" xfId="45" applyFont="1" applyFill="1" applyBorder="1" applyAlignment="1">
      <alignment horizontal="center" vertical="center"/>
    </xf>
    <xf numFmtId="0" fontId="51" fillId="27" borderId="52" xfId="45" applyFont="1" applyFill="1" applyBorder="1" applyAlignment="1">
      <alignment horizontal="left" vertical="center"/>
    </xf>
    <xf numFmtId="0" fontId="51" fillId="27" borderId="52" xfId="44" applyFont="1" applyFill="1" applyBorder="1" applyAlignment="1">
      <alignment horizontal="center" vertical="center"/>
    </xf>
    <xf numFmtId="0" fontId="51" fillId="27" borderId="68" xfId="44" applyFont="1" applyFill="1" applyBorder="1" applyAlignment="1">
      <alignment horizontal="center" vertical="center"/>
    </xf>
    <xf numFmtId="0" fontId="47" fillId="0" borderId="34" xfId="44" applyFont="1" applyBorder="1" applyAlignment="1">
      <alignment horizontal="center" vertical="center"/>
    </xf>
    <xf numFmtId="0" fontId="47" fillId="0" borderId="38" xfId="45" applyBorder="1" applyAlignment="1">
      <alignment horizontal="center" vertical="center"/>
    </xf>
    <xf numFmtId="0" fontId="47" fillId="0" borderId="39" xfId="44" applyFont="1" applyBorder="1" applyAlignment="1">
      <alignment horizontal="center" vertical="center"/>
    </xf>
    <xf numFmtId="189" fontId="47" fillId="0" borderId="34" xfId="46" applyFont="1" applyBorder="1" applyAlignment="1">
      <alignment horizontal="center" vertical="center"/>
    </xf>
    <xf numFmtId="189" fontId="47" fillId="0" borderId="2" xfId="46" applyFont="1" applyBorder="1" applyAlignment="1">
      <alignment horizontal="center" vertical="center"/>
    </xf>
    <xf numFmtId="189" fontId="47" fillId="29" borderId="2" xfId="46" applyFont="1" applyFill="1" applyBorder="1" applyAlignment="1">
      <alignment horizontal="center" vertical="center"/>
    </xf>
    <xf numFmtId="189" fontId="47" fillId="0" borderId="37" xfId="46" applyFont="1" applyBorder="1" applyAlignment="1">
      <alignment horizontal="center" vertical="center"/>
    </xf>
    <xf numFmtId="189" fontId="47" fillId="0" borderId="39" xfId="46" applyFont="1" applyBorder="1" applyAlignment="1">
      <alignment horizontal="center" vertical="center"/>
    </xf>
    <xf numFmtId="189" fontId="47" fillId="29" borderId="39" xfId="46" applyFont="1" applyFill="1" applyBorder="1" applyAlignment="1">
      <alignment horizontal="center" vertical="center"/>
    </xf>
    <xf numFmtId="189" fontId="47" fillId="0" borderId="69" xfId="46" applyFont="1" applyBorder="1" applyAlignment="1">
      <alignment horizontal="center" vertical="center"/>
    </xf>
    <xf numFmtId="0" fontId="51" fillId="20" borderId="70" xfId="44" applyFont="1" applyFill="1" applyBorder="1" applyAlignment="1">
      <alignment horizontal="center" vertical="center" wrapText="1"/>
    </xf>
    <xf numFmtId="0" fontId="51" fillId="20" borderId="71" xfId="44" applyFont="1" applyFill="1" applyBorder="1" applyAlignment="1">
      <alignment horizontal="center" vertical="center" wrapText="1"/>
    </xf>
    <xf numFmtId="0" fontId="51" fillId="20" borderId="72" xfId="44" applyFont="1" applyFill="1" applyBorder="1" applyAlignment="1">
      <alignment horizontal="center" vertical="center" wrapText="1"/>
    </xf>
    <xf numFmtId="189" fontId="47" fillId="19" borderId="37" xfId="46" applyFont="1" applyFill="1" applyBorder="1" applyAlignment="1">
      <alignment horizontal="right" vertical="center"/>
    </xf>
    <xf numFmtId="10" fontId="47" fillId="33" borderId="39" xfId="44" applyNumberFormat="1" applyFont="1" applyFill="1" applyBorder="1" applyAlignment="1">
      <alignment vertical="center"/>
    </xf>
    <xf numFmtId="0" fontId="51" fillId="27" borderId="71" xfId="44" applyFont="1" applyFill="1" applyBorder="1" applyAlignment="1">
      <alignment horizontal="left" vertical="center"/>
    </xf>
    <xf numFmtId="189" fontId="47" fillId="11" borderId="46" xfId="46" applyFont="1" applyFill="1" applyBorder="1" applyAlignment="1">
      <alignment horizontal="center" vertical="center"/>
    </xf>
    <xf numFmtId="0" fontId="51" fillId="27" borderId="73" xfId="44" applyFont="1" applyFill="1" applyBorder="1" applyAlignment="1">
      <alignment horizontal="left" vertical="center"/>
    </xf>
    <xf numFmtId="189" fontId="52" fillId="27" borderId="31" xfId="46" applyFont="1" applyFill="1" applyBorder="1" applyAlignment="1">
      <alignment horizontal="right" vertical="center"/>
    </xf>
    <xf numFmtId="189" fontId="46" fillId="27" borderId="31" xfId="46" applyFont="1" applyFill="1" applyBorder="1" applyAlignment="1">
      <alignment horizontal="right" vertical="center"/>
    </xf>
    <xf numFmtId="189" fontId="46" fillId="27" borderId="32" xfId="46" applyFont="1" applyFill="1" applyBorder="1" applyAlignment="1">
      <alignment horizontal="right" vertical="center"/>
    </xf>
    <xf numFmtId="189" fontId="46" fillId="27" borderId="0" xfId="46" applyFont="1" applyFill="1" applyBorder="1" applyAlignment="1">
      <alignment horizontal="right" vertical="center"/>
    </xf>
    <xf numFmtId="189" fontId="46" fillId="27" borderId="29" xfId="46" applyFont="1" applyFill="1" applyBorder="1" applyAlignment="1">
      <alignment horizontal="right" vertical="center"/>
    </xf>
    <xf numFmtId="0" fontId="47" fillId="28" borderId="33" xfId="44" applyFont="1" applyFill="1" applyBorder="1" applyAlignment="1">
      <alignment horizontal="center" vertical="center" wrapText="1"/>
    </xf>
    <xf numFmtId="0" fontId="19" fillId="0" borderId="34" xfId="44" applyFont="1" applyBorder="1" applyAlignment="1">
      <alignment horizontal="justify" vertical="center" wrapText="1"/>
    </xf>
    <xf numFmtId="169" fontId="19" fillId="0" borderId="34" xfId="47" applyNumberFormat="1" applyFont="1" applyBorder="1" applyAlignment="1">
      <alignment horizontal="center" vertical="center" wrapText="1"/>
    </xf>
    <xf numFmtId="189" fontId="46" fillId="0" borderId="34" xfId="46" applyFont="1" applyBorder="1" applyAlignment="1">
      <alignment horizontal="right" vertical="center"/>
    </xf>
    <xf numFmtId="189" fontId="46" fillId="0" borderId="34" xfId="46" applyFont="1" applyFill="1" applyBorder="1" applyAlignment="1">
      <alignment horizontal="right" vertical="center"/>
    </xf>
    <xf numFmtId="189" fontId="46" fillId="15" borderId="34" xfId="46" applyFont="1" applyFill="1" applyBorder="1" applyAlignment="1">
      <alignment horizontal="right" vertical="center"/>
    </xf>
    <xf numFmtId="189" fontId="46" fillId="0" borderId="35" xfId="46" applyFont="1" applyBorder="1" applyAlignment="1">
      <alignment horizontal="right" vertical="center"/>
    </xf>
    <xf numFmtId="0" fontId="47" fillId="28" borderId="36" xfId="44" applyFont="1" applyFill="1" applyBorder="1" applyAlignment="1">
      <alignment horizontal="center" vertical="center" wrapText="1"/>
    </xf>
    <xf numFmtId="189" fontId="46" fillId="0" borderId="2" xfId="46" applyFont="1" applyBorder="1" applyAlignment="1">
      <alignment horizontal="right" vertical="center"/>
    </xf>
    <xf numFmtId="189" fontId="46" fillId="15" borderId="2" xfId="46" applyFont="1" applyFill="1" applyBorder="1" applyAlignment="1">
      <alignment horizontal="right" vertical="center"/>
    </xf>
    <xf numFmtId="189" fontId="46" fillId="0" borderId="37" xfId="46" applyFont="1" applyBorder="1" applyAlignment="1">
      <alignment horizontal="right" vertical="center"/>
    </xf>
    <xf numFmtId="0" fontId="47" fillId="28" borderId="38" xfId="44" applyFont="1" applyFill="1" applyBorder="1" applyAlignment="1">
      <alignment horizontal="center" vertical="center" wrapText="1"/>
    </xf>
    <xf numFmtId="189" fontId="46" fillId="0" borderId="39" xfId="46" applyFont="1" applyBorder="1" applyAlignment="1">
      <alignment horizontal="right" vertical="center"/>
    </xf>
    <xf numFmtId="189" fontId="46" fillId="0" borderId="69" xfId="46" applyFont="1" applyBorder="1" applyAlignment="1">
      <alignment horizontal="right" vertical="center"/>
    </xf>
    <xf numFmtId="0" fontId="51" fillId="27" borderId="3" xfId="44" applyFont="1" applyFill="1" applyBorder="1" applyAlignment="1">
      <alignment horizontal="center" vertical="center"/>
    </xf>
    <xf numFmtId="0" fontId="51" fillId="27" borderId="53" xfId="44" applyFont="1" applyFill="1" applyBorder="1" applyAlignment="1">
      <alignment horizontal="left" vertical="center"/>
    </xf>
    <xf numFmtId="0" fontId="47" fillId="28" borderId="34" xfId="44" applyFont="1" applyFill="1" applyBorder="1" applyAlignment="1">
      <alignment horizontal="left" vertical="center" wrapText="1"/>
    </xf>
    <xf numFmtId="189" fontId="47" fillId="15" borderId="34" xfId="46" applyFont="1" applyFill="1" applyBorder="1" applyAlignment="1">
      <alignment horizontal="right" vertical="center"/>
    </xf>
    <xf numFmtId="0" fontId="47" fillId="28" borderId="2" xfId="44" applyFont="1" applyFill="1" applyBorder="1" applyAlignment="1">
      <alignment horizontal="left" vertical="center" wrapText="1"/>
    </xf>
    <xf numFmtId="189" fontId="47" fillId="15" borderId="2" xfId="46" applyFont="1" applyFill="1" applyBorder="1" applyAlignment="1">
      <alignment horizontal="right" vertical="center"/>
    </xf>
    <xf numFmtId="0" fontId="47" fillId="28" borderId="39" xfId="44" applyFont="1" applyFill="1" applyBorder="1" applyAlignment="1">
      <alignment horizontal="left" vertical="center" wrapText="1"/>
    </xf>
    <xf numFmtId="189" fontId="46" fillId="0" borderId="39" xfId="46" applyFont="1" applyFill="1" applyBorder="1" applyAlignment="1">
      <alignment horizontal="right" vertical="center"/>
    </xf>
    <xf numFmtId="189" fontId="47" fillId="15" borderId="39" xfId="46" applyFont="1" applyFill="1" applyBorder="1" applyAlignment="1">
      <alignment horizontal="right" vertical="center"/>
    </xf>
    <xf numFmtId="0" fontId="51" fillId="27" borderId="53" xfId="44" quotePrefix="1" applyFont="1" applyFill="1" applyBorder="1" applyAlignment="1">
      <alignment horizontal="left" vertical="center"/>
    </xf>
    <xf numFmtId="0" fontId="47" fillId="0" borderId="74" xfId="44" applyFont="1" applyBorder="1" applyAlignment="1">
      <alignment horizontal="center" vertical="center"/>
    </xf>
    <xf numFmtId="0" fontId="47" fillId="0" borderId="47" xfId="44" applyFont="1" applyBorder="1" applyAlignment="1">
      <alignment horizontal="left" vertical="center"/>
    </xf>
    <xf numFmtId="0" fontId="47" fillId="0" borderId="47" xfId="44" applyFont="1" applyBorder="1" applyAlignment="1">
      <alignment horizontal="center" vertical="center"/>
    </xf>
    <xf numFmtId="169" fontId="19" fillId="0" borderId="47" xfId="47" applyNumberFormat="1" applyFont="1" applyBorder="1" applyAlignment="1">
      <alignment horizontal="center" vertical="center" wrapText="1"/>
    </xf>
    <xf numFmtId="189" fontId="46" fillId="0" borderId="47" xfId="46" applyFont="1" applyBorder="1" applyAlignment="1">
      <alignment horizontal="right" vertical="center"/>
    </xf>
    <xf numFmtId="189" fontId="26" fillId="0" borderId="47" xfId="46" applyFont="1" applyBorder="1"/>
    <xf numFmtId="189" fontId="46" fillId="15" borderId="47" xfId="46" applyFont="1" applyFill="1" applyBorder="1" applyAlignment="1">
      <alignment horizontal="right" vertical="center"/>
    </xf>
    <xf numFmtId="0" fontId="47" fillId="0" borderId="33" xfId="44" applyFont="1" applyBorder="1" applyAlignment="1">
      <alignment horizontal="center" vertical="center"/>
    </xf>
    <xf numFmtId="0" fontId="47" fillId="0" borderId="34" xfId="46" applyNumberFormat="1" applyFont="1" applyBorder="1" applyAlignment="1">
      <alignment horizontal="center" vertical="center"/>
    </xf>
    <xf numFmtId="189" fontId="46" fillId="22" borderId="34" xfId="46" applyFont="1" applyFill="1" applyBorder="1" applyAlignment="1">
      <alignment horizontal="right" vertical="center"/>
    </xf>
    <xf numFmtId="0" fontId="47" fillId="0" borderId="2" xfId="46" applyNumberFormat="1" applyFont="1" applyBorder="1" applyAlignment="1">
      <alignment horizontal="center" vertical="center"/>
    </xf>
    <xf numFmtId="189" fontId="46" fillId="22" borderId="2" xfId="46" applyFont="1" applyFill="1" applyBorder="1" applyAlignment="1">
      <alignment horizontal="right" vertical="center"/>
    </xf>
    <xf numFmtId="0" fontId="47" fillId="0" borderId="39" xfId="46" applyNumberFormat="1" applyFont="1" applyBorder="1" applyAlignment="1">
      <alignment horizontal="center" vertical="center"/>
    </xf>
    <xf numFmtId="189" fontId="47" fillId="34" borderId="34" xfId="46" applyFont="1" applyFill="1" applyBorder="1" applyAlignment="1">
      <alignment horizontal="right" vertical="center"/>
    </xf>
    <xf numFmtId="189" fontId="47" fillId="0" borderId="34" xfId="46" applyFont="1" applyFill="1" applyBorder="1" applyAlignment="1">
      <alignment horizontal="right" vertical="center"/>
    </xf>
    <xf numFmtId="189" fontId="47" fillId="35" borderId="2" xfId="46" applyFont="1" applyFill="1" applyBorder="1" applyAlignment="1">
      <alignment horizontal="right" vertical="center"/>
    </xf>
    <xf numFmtId="189" fontId="47" fillId="0" borderId="2" xfId="46" applyFont="1" applyFill="1" applyBorder="1" applyAlignment="1">
      <alignment horizontal="right" vertical="center"/>
    </xf>
    <xf numFmtId="0" fontId="19" fillId="0" borderId="2" xfId="0" applyFont="1" applyBorder="1" applyAlignment="1">
      <alignment vertical="center"/>
    </xf>
    <xf numFmtId="165" fontId="0" fillId="0" borderId="2" xfId="0" applyNumberFormat="1" applyBorder="1" applyAlignment="1">
      <alignment horizontal="right" vertical="center"/>
    </xf>
    <xf numFmtId="9" fontId="0" fillId="0" borderId="2" xfId="0" applyNumberFormat="1" applyBorder="1" applyAlignment="1">
      <alignment horizontal="right"/>
    </xf>
    <xf numFmtId="0" fontId="22" fillId="14" borderId="2" xfId="0" applyFont="1" applyFill="1" applyBorder="1"/>
    <xf numFmtId="0" fontId="22" fillId="37" borderId="2" xfId="0" applyFont="1" applyFill="1" applyBorder="1" applyAlignment="1">
      <alignment horizontal="center"/>
    </xf>
    <xf numFmtId="0" fontId="44" fillId="0" borderId="0" xfId="0" applyFont="1" applyAlignment="1">
      <alignment horizontal="justify" vertical="center"/>
    </xf>
    <xf numFmtId="0" fontId="22" fillId="0" borderId="0" xfId="0" applyFont="1" applyAlignment="1">
      <alignment vertical="center" wrapText="1"/>
    </xf>
    <xf numFmtId="0" fontId="27" fillId="0" borderId="0" xfId="38" applyFont="1"/>
    <xf numFmtId="0" fontId="37" fillId="0" borderId="0" xfId="0" applyFont="1" applyAlignment="1">
      <alignment vertical="center" wrapText="1"/>
    </xf>
    <xf numFmtId="0" fontId="54" fillId="0" borderId="0" xfId="38" applyFont="1"/>
    <xf numFmtId="0" fontId="22" fillId="9" borderId="5" xfId="0" applyFont="1" applyFill="1" applyBorder="1" applyAlignment="1">
      <alignment horizontal="left"/>
    </xf>
    <xf numFmtId="0" fontId="19" fillId="0" borderId="5" xfId="0" applyFont="1" applyBorder="1" applyAlignment="1">
      <alignment horizontal="center" vertical="center"/>
    </xf>
    <xf numFmtId="0" fontId="0" fillId="0" borderId="19" xfId="0" applyBorder="1" applyAlignment="1">
      <alignment horizontal="center" vertical="center"/>
    </xf>
    <xf numFmtId="42" fontId="0" fillId="0" borderId="19" xfId="0" applyNumberFormat="1" applyBorder="1" applyAlignment="1">
      <alignment horizontal="center" vertical="center"/>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42" fontId="0" fillId="0" borderId="26" xfId="0" applyNumberFormat="1" applyBorder="1" applyAlignment="1">
      <alignment horizontal="center" vertical="center"/>
    </xf>
    <xf numFmtId="42" fontId="0" fillId="0" borderId="27" xfId="0" applyNumberFormat="1" applyBorder="1" applyAlignment="1">
      <alignment horizontal="center" vertical="center"/>
    </xf>
    <xf numFmtId="0" fontId="40" fillId="38" borderId="79" xfId="50" applyFill="1" applyBorder="1" applyAlignment="1" applyProtection="1">
      <alignment horizontal="center" vertical="center"/>
    </xf>
    <xf numFmtId="0" fontId="56" fillId="38" borderId="80" xfId="50" applyFont="1" applyFill="1" applyBorder="1" applyAlignment="1" applyProtection="1">
      <alignment horizontal="center" vertical="center"/>
    </xf>
    <xf numFmtId="3" fontId="56" fillId="38" borderId="80" xfId="49" applyNumberFormat="1" applyFont="1" applyFill="1" applyBorder="1" applyAlignment="1" applyProtection="1">
      <alignment horizontal="center" vertical="center"/>
    </xf>
    <xf numFmtId="0" fontId="57" fillId="10" borderId="80" xfId="50" applyFont="1" applyFill="1" applyBorder="1" applyAlignment="1" applyProtection="1">
      <alignment horizontal="center" vertical="center" wrapText="1"/>
    </xf>
    <xf numFmtId="194" fontId="56" fillId="9" borderId="80" xfId="50" applyNumberFormat="1" applyFont="1" applyFill="1" applyBorder="1" applyAlignment="1" applyProtection="1">
      <alignment horizontal="right" vertical="center" wrapText="1"/>
    </xf>
    <xf numFmtId="0" fontId="58" fillId="10" borderId="80" xfId="50" applyFont="1" applyFill="1" applyBorder="1" applyAlignment="1" applyProtection="1">
      <alignment horizontal="left" vertical="center" wrapText="1"/>
    </xf>
    <xf numFmtId="0" fontId="56" fillId="9" borderId="80" xfId="50" applyNumberFormat="1" applyFont="1" applyFill="1" applyBorder="1" applyAlignment="1" applyProtection="1">
      <alignment horizontal="right" vertical="center" wrapText="1"/>
    </xf>
    <xf numFmtId="0" fontId="37" fillId="0" borderId="0" xfId="0" applyFont="1" applyAlignment="1">
      <alignment vertical="center"/>
    </xf>
    <xf numFmtId="189" fontId="47" fillId="28" borderId="0" xfId="44" applyNumberFormat="1" applyFont="1" applyFill="1" applyAlignment="1">
      <alignment vertical="center"/>
    </xf>
    <xf numFmtId="0" fontId="22" fillId="16" borderId="2" xfId="0" applyFont="1" applyFill="1" applyBorder="1" applyAlignment="1">
      <alignment horizontal="center" vertical="center" wrapText="1"/>
    </xf>
    <xf numFmtId="0" fontId="22" fillId="16" borderId="2" xfId="0" applyFont="1" applyFill="1" applyBorder="1" applyAlignment="1">
      <alignment horizontal="center" vertical="center"/>
    </xf>
    <xf numFmtId="0" fontId="0" fillId="0" borderId="0" xfId="0" applyAlignment="1">
      <alignment horizontal="left"/>
    </xf>
    <xf numFmtId="0" fontId="25" fillId="0" borderId="0" xfId="0" applyFont="1"/>
    <xf numFmtId="0" fontId="60" fillId="0" borderId="0" xfId="0" applyFont="1"/>
    <xf numFmtId="0" fontId="61" fillId="0" borderId="0" xfId="0" applyFont="1" applyAlignment="1">
      <alignment horizontal="left"/>
    </xf>
    <xf numFmtId="0" fontId="61" fillId="0" borderId="0" xfId="0" applyFont="1"/>
    <xf numFmtId="0" fontId="38" fillId="0" borderId="40" xfId="0" applyFont="1" applyBorder="1" applyAlignment="1">
      <alignment horizontal="right"/>
    </xf>
    <xf numFmtId="0" fontId="38" fillId="0" borderId="41" xfId="0" applyFont="1" applyBorder="1" applyAlignment="1">
      <alignment horizontal="left"/>
    </xf>
    <xf numFmtId="0" fontId="38" fillId="0" borderId="42" xfId="0" applyFont="1" applyBorder="1" applyAlignment="1">
      <alignment horizontal="right"/>
    </xf>
    <xf numFmtId="0" fontId="38" fillId="0" borderId="81" xfId="0" applyFont="1" applyBorder="1" applyAlignment="1">
      <alignment horizontal="left"/>
    </xf>
    <xf numFmtId="2" fontId="38" fillId="0" borderId="0" xfId="0" applyNumberFormat="1" applyFont="1" applyAlignment="1">
      <alignment horizontal="right"/>
    </xf>
    <xf numFmtId="0" fontId="61" fillId="0" borderId="0" xfId="0" applyFont="1" applyAlignment="1">
      <alignment horizontal="center" vertical="center"/>
    </xf>
    <xf numFmtId="0" fontId="61" fillId="0" borderId="0" xfId="0" applyFont="1" applyAlignment="1">
      <alignment horizontal="right" vertical="center"/>
    </xf>
    <xf numFmtId="0" fontId="0" fillId="0" borderId="0" xfId="0" applyAlignment="1">
      <alignment horizontal="center" vertical="center"/>
    </xf>
    <xf numFmtId="2" fontId="0" fillId="0" borderId="0" xfId="0" applyNumberFormat="1" applyAlignment="1">
      <alignment horizontal="center" vertical="center"/>
    </xf>
    <xf numFmtId="0" fontId="22" fillId="0" borderId="0" xfId="0" applyFont="1" applyAlignment="1">
      <alignment horizontal="right"/>
    </xf>
    <xf numFmtId="0" fontId="18" fillId="0" borderId="1" xfId="4" applyFill="1" applyAlignment="1">
      <alignment horizontal="center" vertical="center"/>
    </xf>
    <xf numFmtId="0" fontId="22" fillId="0" borderId="13" xfId="5" quotePrefix="1" applyFont="1" applyBorder="1" applyAlignment="1">
      <alignment horizontal="lef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8" xfId="0" applyFont="1" applyBorder="1" applyAlignment="1">
      <alignment vertical="center" wrapText="1"/>
    </xf>
    <xf numFmtId="0" fontId="19" fillId="0" borderId="0" xfId="23" applyAlignment="1">
      <alignment horizontal="center" vertical="center"/>
    </xf>
    <xf numFmtId="0" fontId="22" fillId="16" borderId="2" xfId="23" applyFont="1" applyFill="1" applyBorder="1" applyAlignment="1">
      <alignment horizontal="center" vertical="center"/>
    </xf>
    <xf numFmtId="0" fontId="64" fillId="0" borderId="2" xfId="0" applyFont="1" applyBorder="1" applyAlignment="1">
      <alignment horizontal="left" vertical="center" wrapText="1" indent="1"/>
    </xf>
    <xf numFmtId="194" fontId="0" fillId="0" borderId="2" xfId="2" applyNumberFormat="1" applyFont="1" applyBorder="1"/>
    <xf numFmtId="194" fontId="0" fillId="0" borderId="2" xfId="0" applyNumberFormat="1" applyBorder="1"/>
    <xf numFmtId="0" fontId="31" fillId="0" borderId="0" xfId="9" applyFont="1" applyAlignment="1">
      <alignment horizontal="center"/>
    </xf>
    <xf numFmtId="0" fontId="31" fillId="39" borderId="0" xfId="9" applyFont="1" applyFill="1"/>
    <xf numFmtId="165" fontId="31" fillId="0" borderId="0" xfId="9" applyNumberFormat="1" applyFont="1" applyAlignment="1">
      <alignment horizontal="center"/>
    </xf>
    <xf numFmtId="167" fontId="32" fillId="0" borderId="0" xfId="10" applyNumberFormat="1" applyFont="1" applyFill="1" applyBorder="1" applyAlignment="1">
      <alignment horizontal="center" vertical="center"/>
    </xf>
    <xf numFmtId="0" fontId="31" fillId="0" borderId="0" xfId="9" applyFont="1" applyAlignment="1">
      <alignment horizontal="center" wrapText="1"/>
    </xf>
    <xf numFmtId="2" fontId="31" fillId="0" borderId="0" xfId="9" applyNumberFormat="1" applyFont="1" applyAlignment="1">
      <alignment horizontal="center" vertical="center"/>
    </xf>
    <xf numFmtId="3" fontId="31" fillId="0" borderId="0" xfId="9" applyNumberFormat="1" applyFont="1" applyAlignment="1">
      <alignment horizontal="center" vertical="center"/>
    </xf>
    <xf numFmtId="0" fontId="31" fillId="0" borderId="0" xfId="9" applyFont="1" applyAlignment="1" applyProtection="1">
      <alignment horizontal="center" vertical="center" wrapText="1"/>
      <protection locked="0"/>
    </xf>
    <xf numFmtId="167" fontId="34" fillId="0" borderId="0" xfId="10" applyNumberFormat="1" applyFont="1" applyFill="1" applyBorder="1" applyAlignment="1">
      <alignment horizontal="center" vertical="center"/>
    </xf>
    <xf numFmtId="0" fontId="16" fillId="0" borderId="0" xfId="11" applyAlignment="1">
      <alignment horizontal="center" vertical="center" wrapText="1"/>
    </xf>
    <xf numFmtId="0" fontId="26" fillId="0" borderId="0" xfId="9" applyFont="1" applyAlignment="1">
      <alignment horizontal="center" vertical="center"/>
    </xf>
    <xf numFmtId="0" fontId="31" fillId="0" borderId="0" xfId="12" applyFont="1" applyAlignment="1">
      <alignment horizontal="center" wrapText="1"/>
    </xf>
    <xf numFmtId="0" fontId="35" fillId="0" borderId="0" xfId="9" applyFont="1" applyAlignment="1">
      <alignment horizontal="center" vertical="center"/>
    </xf>
    <xf numFmtId="167" fontId="36" fillId="0" borderId="0" xfId="10" applyNumberFormat="1" applyFont="1" applyFill="1" applyBorder="1" applyAlignment="1">
      <alignment horizontal="center" vertical="center"/>
    </xf>
    <xf numFmtId="189" fontId="47" fillId="0" borderId="37" xfId="46" applyFont="1" applyFill="1" applyBorder="1" applyAlignment="1">
      <alignment horizontal="right" vertical="center"/>
    </xf>
    <xf numFmtId="44" fontId="19" fillId="0" borderId="0" xfId="0" applyNumberFormat="1" applyFont="1"/>
    <xf numFmtId="166" fontId="22" fillId="21" borderId="2" xfId="0" applyNumberFormat="1" applyFont="1" applyFill="1" applyBorder="1" applyAlignment="1">
      <alignment horizontal="right" vertical="center"/>
    </xf>
    <xf numFmtId="189" fontId="52" fillId="30" borderId="82" xfId="46" applyFont="1" applyFill="1" applyBorder="1" applyAlignment="1">
      <alignment horizontal="right" vertical="center"/>
    </xf>
    <xf numFmtId="10" fontId="47" fillId="28" borderId="37" xfId="7" applyNumberFormat="1" applyFont="1" applyFill="1" applyBorder="1" applyAlignment="1">
      <alignment vertical="center"/>
    </xf>
    <xf numFmtId="10" fontId="47" fillId="33" borderId="69" xfId="44" applyNumberFormat="1" applyFont="1" applyFill="1" applyBorder="1" applyAlignment="1">
      <alignment vertical="center"/>
    </xf>
    <xf numFmtId="0" fontId="57" fillId="10" borderId="80" xfId="50" applyFont="1" applyFill="1" applyBorder="1" applyAlignment="1" applyProtection="1">
      <alignment horizontal="left" vertical="center" wrapText="1"/>
    </xf>
    <xf numFmtId="0" fontId="22" fillId="0" borderId="0" xfId="0" applyFont="1" applyAlignment="1">
      <alignment horizontal="left" vertical="center"/>
    </xf>
    <xf numFmtId="0" fontId="22" fillId="14" borderId="2" xfId="0" applyFont="1" applyFill="1" applyBorder="1" applyAlignment="1">
      <alignment horizontal="center" vertical="center"/>
    </xf>
    <xf numFmtId="0" fontId="22" fillId="17" borderId="2" xfId="0" applyFont="1" applyFill="1" applyBorder="1" applyAlignment="1">
      <alignment horizontal="center" vertical="center"/>
    </xf>
    <xf numFmtId="0" fontId="0" fillId="0" borderId="0" xfId="0" applyAlignment="1">
      <alignment horizontal="right"/>
    </xf>
    <xf numFmtId="194" fontId="0" fillId="0" borderId="2" xfId="0" applyNumberFormat="1" applyBorder="1" applyAlignment="1">
      <alignment horizontal="center" vertical="center"/>
    </xf>
    <xf numFmtId="194" fontId="0" fillId="0" borderId="4" xfId="2" applyNumberFormat="1" applyFont="1" applyBorder="1"/>
    <xf numFmtId="0" fontId="0" fillId="0" borderId="2" xfId="2" applyNumberFormat="1" applyFont="1" applyBorder="1" applyAlignment="1">
      <alignment horizontal="center" vertical="center"/>
    </xf>
    <xf numFmtId="2" fontId="0" fillId="4" borderId="11" xfId="0" applyNumberFormat="1" applyFill="1" applyBorder="1" applyAlignment="1">
      <alignment horizontal="center" vertical="center"/>
    </xf>
    <xf numFmtId="0" fontId="0" fillId="0" borderId="2" xfId="0" applyBorder="1" applyAlignment="1">
      <alignment horizontal="right"/>
    </xf>
    <xf numFmtId="0" fontId="22" fillId="16" borderId="2" xfId="0" applyFont="1" applyFill="1" applyBorder="1" applyAlignment="1">
      <alignment horizontal="center"/>
    </xf>
    <xf numFmtId="0" fontId="0" fillId="0" borderId="4" xfId="2" applyNumberFormat="1" applyFont="1" applyBorder="1" applyAlignment="1">
      <alignment horizontal="center" vertical="center"/>
    </xf>
    <xf numFmtId="0" fontId="22" fillId="0" borderId="2" xfId="0" applyFont="1" applyBorder="1" applyAlignment="1">
      <alignment horizontal="center" vertical="center"/>
    </xf>
    <xf numFmtId="44" fontId="22" fillId="4" borderId="2" xfId="2" applyFont="1" applyFill="1" applyBorder="1" applyAlignment="1">
      <alignment horizontal="center" vertical="center"/>
    </xf>
    <xf numFmtId="0" fontId="64" fillId="0" borderId="2" xfId="0" applyFont="1" applyBorder="1" applyAlignment="1">
      <alignment horizontal="center" vertical="center" wrapText="1"/>
    </xf>
    <xf numFmtId="0" fontId="22" fillId="9" borderId="25" xfId="0" applyFont="1" applyFill="1" applyBorder="1" applyAlignment="1">
      <alignment horizontal="left" vertical="center" wrapText="1"/>
    </xf>
    <xf numFmtId="0" fontId="22" fillId="9" borderId="21" xfId="0" applyFont="1" applyFill="1" applyBorder="1" applyAlignment="1">
      <alignment horizontal="left" wrapText="1"/>
    </xf>
    <xf numFmtId="194" fontId="56" fillId="0" borderId="80" xfId="50" applyNumberFormat="1" applyFont="1" applyFill="1" applyBorder="1" applyAlignment="1" applyProtection="1">
      <alignment horizontal="center" vertical="center" wrapText="1"/>
    </xf>
    <xf numFmtId="165" fontId="18" fillId="2" borderId="4" xfId="4" applyNumberFormat="1" applyBorder="1"/>
    <xf numFmtId="165" fontId="18" fillId="2" borderId="7" xfId="4" applyNumberFormat="1" applyBorder="1"/>
    <xf numFmtId="0" fontId="19" fillId="6" borderId="2"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2" xfId="0" applyFont="1" applyFill="1" applyBorder="1" applyAlignment="1">
      <alignment horizontal="center" vertical="center" wrapText="1"/>
    </xf>
    <xf numFmtId="170" fontId="19" fillId="4" borderId="16" xfId="5" applyNumberFormat="1" applyFill="1" applyBorder="1" applyAlignment="1">
      <alignment horizontal="justify" vertical="center"/>
    </xf>
    <xf numFmtId="196" fontId="38" fillId="0" borderId="0" xfId="0" applyNumberFormat="1" applyFont="1" applyAlignment="1">
      <alignment horizontal="right"/>
    </xf>
    <xf numFmtId="166" fontId="22" fillId="21" borderId="8" xfId="0" applyNumberFormat="1" applyFont="1" applyFill="1" applyBorder="1" applyAlignment="1">
      <alignment horizontal="right" vertical="center"/>
    </xf>
    <xf numFmtId="0" fontId="22" fillId="5" borderId="8" xfId="0" applyFont="1" applyFill="1" applyBorder="1" applyAlignment="1">
      <alignment horizontal="right" vertical="center"/>
    </xf>
    <xf numFmtId="0" fontId="22" fillId="5" borderId="2" xfId="0" applyFont="1" applyFill="1" applyBorder="1" applyAlignment="1">
      <alignment horizontal="right" vertical="center"/>
    </xf>
    <xf numFmtId="0" fontId="5" fillId="0" borderId="0" xfId="69"/>
    <xf numFmtId="0" fontId="40" fillId="10" borderId="51" xfId="69" applyFont="1" applyFill="1" applyBorder="1" applyAlignment="1">
      <alignment vertical="center"/>
    </xf>
    <xf numFmtId="0" fontId="40" fillId="10" borderId="50" xfId="69" applyFont="1" applyFill="1" applyBorder="1" applyAlignment="1">
      <alignment vertical="center"/>
    </xf>
    <xf numFmtId="42" fontId="40" fillId="40" borderId="65" xfId="69" applyNumberFormat="1" applyFont="1" applyFill="1" applyBorder="1" applyAlignment="1">
      <alignment horizontal="center" vertical="center"/>
    </xf>
    <xf numFmtId="42" fontId="40" fillId="41" borderId="55" xfId="69" applyNumberFormat="1" applyFont="1" applyFill="1" applyBorder="1" applyAlignment="1">
      <alignment vertical="center" wrapText="1"/>
    </xf>
    <xf numFmtId="0" fontId="44" fillId="0" borderId="0" xfId="0" applyFont="1"/>
    <xf numFmtId="189" fontId="26" fillId="0" borderId="48" xfId="46" applyFont="1" applyBorder="1"/>
    <xf numFmtId="189" fontId="46" fillId="22" borderId="37" xfId="46" applyFont="1" applyFill="1" applyBorder="1" applyAlignment="1">
      <alignment horizontal="right" vertical="center"/>
    </xf>
    <xf numFmtId="189" fontId="47" fillId="34" borderId="35" xfId="46" applyFont="1" applyFill="1" applyBorder="1" applyAlignment="1">
      <alignment horizontal="right" vertical="center"/>
    </xf>
    <xf numFmtId="189" fontId="47" fillId="35" borderId="37" xfId="46" applyFont="1" applyFill="1" applyBorder="1" applyAlignment="1">
      <alignment horizontal="right" vertical="center"/>
    </xf>
    <xf numFmtId="0" fontId="57" fillId="10" borderId="80" xfId="76" applyFont="1" applyFill="1" applyBorder="1" applyAlignment="1">
      <alignment horizontal="center" vertical="center" wrapText="1"/>
    </xf>
    <xf numFmtId="194" fontId="56" fillId="9" borderId="80" xfId="50" applyNumberFormat="1" applyFont="1" applyFill="1" applyBorder="1" applyAlignment="1" applyProtection="1">
      <alignment horizontal="center" vertical="center" wrapText="1"/>
    </xf>
    <xf numFmtId="0" fontId="3" fillId="10" borderId="80" xfId="76" applyFill="1" applyBorder="1" applyAlignment="1">
      <alignment horizontal="center" vertical="center" wrapText="1"/>
    </xf>
    <xf numFmtId="0" fontId="3" fillId="10" borderId="80" xfId="50" applyFont="1" applyFill="1" applyBorder="1" applyAlignment="1" applyProtection="1">
      <alignment horizontal="center" vertical="center" wrapText="1"/>
    </xf>
    <xf numFmtId="0" fontId="3" fillId="10" borderId="80" xfId="50" applyFont="1" applyFill="1" applyBorder="1" applyAlignment="1" applyProtection="1">
      <alignment horizontal="left" vertical="center" wrapText="1"/>
    </xf>
    <xf numFmtId="0" fontId="3" fillId="0" borderId="2" xfId="77" applyBorder="1"/>
    <xf numFmtId="0" fontId="3" fillId="0" borderId="2" xfId="77" applyBorder="1" applyAlignment="1">
      <alignment horizontal="center" vertical="center"/>
    </xf>
    <xf numFmtId="0" fontId="3" fillId="0" borderId="8" xfId="77" applyBorder="1" applyAlignment="1">
      <alignment horizontal="center" vertical="center"/>
    </xf>
    <xf numFmtId="0" fontId="67" fillId="40" borderId="2" xfId="77" applyFont="1" applyFill="1" applyBorder="1" applyAlignment="1">
      <alignment horizontal="center" vertical="center"/>
    </xf>
    <xf numFmtId="0" fontId="67" fillId="40" borderId="59" xfId="77" applyFont="1" applyFill="1" applyBorder="1" applyAlignment="1">
      <alignment horizontal="center" vertical="center"/>
    </xf>
    <xf numFmtId="0" fontId="66" fillId="40" borderId="59" xfId="77" applyFont="1" applyFill="1" applyBorder="1" applyAlignment="1">
      <alignment horizontal="center" vertical="center"/>
    </xf>
    <xf numFmtId="0" fontId="68" fillId="40" borderId="59" xfId="77" applyFont="1" applyFill="1" applyBorder="1" applyAlignment="1">
      <alignment horizontal="center" vertical="center"/>
    </xf>
    <xf numFmtId="199" fontId="51" fillId="30" borderId="7" xfId="46" applyNumberFormat="1" applyFont="1" applyFill="1" applyBorder="1" applyAlignment="1">
      <alignment horizontal="right" vertical="center"/>
    </xf>
    <xf numFmtId="0" fontId="70" fillId="0" borderId="2" xfId="0" applyFont="1" applyBorder="1" applyAlignment="1">
      <alignment horizontal="left" vertical="center" wrapText="1"/>
    </xf>
    <xf numFmtId="0" fontId="70" fillId="0" borderId="2" xfId="0" applyFont="1" applyBorder="1" applyAlignment="1">
      <alignment horizontal="center" vertical="center" wrapText="1"/>
    </xf>
    <xf numFmtId="1" fontId="70" fillId="0" borderId="2" xfId="0" applyNumberFormat="1" applyFont="1" applyBorder="1" applyAlignment="1">
      <alignment horizontal="center" vertical="center" wrapText="1"/>
    </xf>
    <xf numFmtId="42" fontId="70" fillId="0" borderId="2" xfId="79" applyFont="1" applyFill="1" applyBorder="1" applyAlignment="1">
      <alignment horizontal="center" vertical="center"/>
    </xf>
    <xf numFmtId="0" fontId="70" fillId="0" borderId="57" xfId="0" applyFont="1" applyBorder="1" applyAlignment="1">
      <alignment horizontal="center" vertical="center" wrapText="1"/>
    </xf>
    <xf numFmtId="1" fontId="70" fillId="0" borderId="57" xfId="0" applyNumberFormat="1" applyFont="1" applyBorder="1" applyAlignment="1">
      <alignment horizontal="center" vertical="center" wrapText="1"/>
    </xf>
    <xf numFmtId="42" fontId="70" fillId="0" borderId="57" xfId="79" applyFont="1" applyFill="1" applyBorder="1" applyAlignment="1">
      <alignment horizontal="center" vertical="center"/>
    </xf>
    <xf numFmtId="42" fontId="70" fillId="0" borderId="57" xfId="0" applyNumberFormat="1" applyFont="1" applyBorder="1" applyAlignment="1">
      <alignment horizontal="center" vertical="center" wrapText="1"/>
    </xf>
    <xf numFmtId="1" fontId="70" fillId="0" borderId="58" xfId="0" applyNumberFormat="1" applyFont="1" applyBorder="1" applyAlignment="1">
      <alignment horizontal="center" vertical="center" wrapText="1"/>
    </xf>
    <xf numFmtId="42" fontId="70" fillId="0" borderId="58" xfId="79" applyFont="1" applyFill="1" applyBorder="1" applyAlignment="1">
      <alignment horizontal="center" vertical="center"/>
    </xf>
    <xf numFmtId="0" fontId="70" fillId="0" borderId="57" xfId="0" applyFont="1" applyBorder="1" applyAlignment="1">
      <alignment horizontal="left" vertical="center" wrapText="1"/>
    </xf>
    <xf numFmtId="0" fontId="70" fillId="0" borderId="59" xfId="0" applyFont="1" applyBorder="1" applyAlignment="1">
      <alignment horizontal="center" vertical="center" wrapText="1"/>
    </xf>
    <xf numFmtId="1" fontId="70" fillId="0" borderId="59" xfId="0" applyNumberFormat="1" applyFont="1" applyBorder="1" applyAlignment="1">
      <alignment horizontal="center" vertical="center" wrapText="1"/>
    </xf>
    <xf numFmtId="0" fontId="70" fillId="0" borderId="7" xfId="0" applyFont="1" applyBorder="1" applyAlignment="1">
      <alignment horizontal="left" vertical="center" wrapText="1"/>
    </xf>
    <xf numFmtId="0" fontId="70" fillId="0" borderId="58" xfId="0" applyFont="1" applyBorder="1" applyAlignment="1">
      <alignment horizontal="center" vertical="center" wrapText="1"/>
    </xf>
    <xf numFmtId="42" fontId="70" fillId="0" borderId="2" xfId="0" applyNumberFormat="1" applyFont="1" applyBorder="1" applyAlignment="1">
      <alignment horizontal="center" vertical="center" wrapText="1"/>
    </xf>
    <xf numFmtId="42" fontId="70" fillId="0" borderId="54" xfId="79" applyFont="1" applyFill="1" applyBorder="1" applyAlignment="1">
      <alignment horizontal="center" vertical="center"/>
    </xf>
    <xf numFmtId="42" fontId="70" fillId="0" borderId="11" xfId="79" applyFont="1" applyFill="1" applyBorder="1" applyAlignment="1">
      <alignment horizontal="center" vertical="center"/>
    </xf>
    <xf numFmtId="42" fontId="70" fillId="0" borderId="2" xfId="79" applyFont="1" applyBorder="1" applyAlignment="1">
      <alignment horizontal="center" vertical="center"/>
    </xf>
    <xf numFmtId="42" fontId="70" fillId="0" borderId="11" xfId="79" applyFont="1" applyBorder="1" applyAlignment="1">
      <alignment horizontal="center" vertical="center"/>
    </xf>
    <xf numFmtId="0" fontId="70" fillId="0" borderId="2" xfId="0" applyFont="1" applyBorder="1" applyAlignment="1">
      <alignment horizontal="center" vertical="center"/>
    </xf>
    <xf numFmtId="42" fontId="70" fillId="0" borderId="57" xfId="79" applyFont="1" applyBorder="1" applyAlignment="1">
      <alignment horizontal="center" vertical="center"/>
    </xf>
    <xf numFmtId="42" fontId="70" fillId="0" borderId="54" xfId="79" applyFont="1" applyBorder="1" applyAlignment="1">
      <alignment horizontal="center" vertical="center"/>
    </xf>
    <xf numFmtId="42" fontId="70" fillId="0" borderId="7" xfId="79"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42" fontId="2" fillId="0" borderId="2" xfId="79" applyFont="1" applyFill="1" applyBorder="1" applyAlignment="1">
      <alignment horizontal="center" vertical="center"/>
    </xf>
    <xf numFmtId="42" fontId="2" fillId="0" borderId="2" xfId="0" applyNumberFormat="1" applyFont="1" applyBorder="1" applyAlignment="1">
      <alignment horizontal="center"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42" fontId="2" fillId="0" borderId="2" xfId="79" applyFont="1" applyBorder="1" applyAlignment="1">
      <alignment horizontal="center" vertical="center" wrapText="1"/>
    </xf>
    <xf numFmtId="0" fontId="2" fillId="0" borderId="59" xfId="0" applyFont="1" applyBorder="1" applyAlignment="1">
      <alignment horizontal="left" vertical="center" wrapText="1"/>
    </xf>
    <xf numFmtId="42" fontId="2" fillId="0" borderId="1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2" fillId="0" borderId="57" xfId="0" applyFont="1" applyBorder="1" applyAlignment="1">
      <alignment horizontal="center" vertical="center" wrapText="1"/>
    </xf>
    <xf numFmtId="1" fontId="2" fillId="0" borderId="58" xfId="0" applyNumberFormat="1" applyFont="1" applyBorder="1" applyAlignment="1">
      <alignment horizontal="center" vertical="center" wrapText="1"/>
    </xf>
    <xf numFmtId="42" fontId="2" fillId="0" borderId="58" xfId="79" applyFont="1" applyFill="1" applyBorder="1" applyAlignment="1">
      <alignment horizontal="center" vertical="center"/>
    </xf>
    <xf numFmtId="0" fontId="2" fillId="0" borderId="11" xfId="0" applyFont="1" applyBorder="1" applyAlignment="1">
      <alignment horizontal="left" vertical="center" wrapText="1"/>
    </xf>
    <xf numFmtId="0" fontId="27" fillId="0" borderId="0" xfId="38" applyFont="1" applyAlignment="1">
      <alignment horizontal="center" vertical="center" wrapText="1"/>
    </xf>
    <xf numFmtId="0" fontId="22" fillId="16" borderId="11" xfId="0" applyFont="1" applyFill="1" applyBorder="1" applyAlignment="1">
      <alignment horizontal="center" vertical="center"/>
    </xf>
    <xf numFmtId="0" fontId="22" fillId="16" borderId="8" xfId="0" applyFont="1" applyFill="1" applyBorder="1" applyAlignment="1">
      <alignment horizontal="center" vertical="center"/>
    </xf>
    <xf numFmtId="0" fontId="0" fillId="0" borderId="7" xfId="0" applyBorder="1" applyAlignment="1">
      <alignment horizontal="center" vertical="center"/>
    </xf>
    <xf numFmtId="0" fontId="0" fillId="0" borderId="67" xfId="0" applyBorder="1" applyAlignment="1">
      <alignment horizontal="center" vertical="center"/>
    </xf>
    <xf numFmtId="0" fontId="19" fillId="6" borderId="2" xfId="0" applyFont="1" applyFill="1" applyBorder="1" applyAlignment="1">
      <alignment horizontal="center"/>
    </xf>
    <xf numFmtId="0" fontId="19" fillId="3" borderId="2" xfId="0" applyFont="1" applyFill="1" applyBorder="1" applyAlignment="1">
      <alignment horizontal="center" wrapText="1"/>
    </xf>
    <xf numFmtId="0" fontId="19" fillId="4" borderId="2" xfId="0" applyFont="1" applyFill="1" applyBorder="1" applyAlignment="1">
      <alignment horizontal="center"/>
    </xf>
    <xf numFmtId="0" fontId="19" fillId="5" borderId="2" xfId="0" applyFont="1" applyFill="1" applyBorder="1" applyAlignment="1">
      <alignment horizontal="center"/>
    </xf>
    <xf numFmtId="0" fontId="19" fillId="4" borderId="3" xfId="0" applyFont="1" applyFill="1" applyBorder="1" applyAlignment="1">
      <alignment horizontal="center"/>
    </xf>
    <xf numFmtId="0" fontId="19" fillId="4" borderId="0" xfId="0" applyFont="1" applyFill="1" applyAlignment="1">
      <alignment horizontal="center"/>
    </xf>
    <xf numFmtId="0" fontId="22" fillId="8" borderId="9" xfId="0" applyFont="1" applyFill="1" applyBorder="1" applyAlignment="1">
      <alignment horizontal="center"/>
    </xf>
    <xf numFmtId="0" fontId="22" fillId="8" borderId="10" xfId="0" applyFont="1" applyFill="1" applyBorder="1" applyAlignment="1">
      <alignment horizontal="center"/>
    </xf>
    <xf numFmtId="0" fontId="0" fillId="0" borderId="2" xfId="0" applyBorder="1" applyAlignment="1">
      <alignment horizontal="center" vertical="center" wrapText="1"/>
    </xf>
    <xf numFmtId="0" fontId="19" fillId="0" borderId="9" xfId="0" applyFont="1" applyBorder="1" applyAlignment="1">
      <alignment horizontal="center" vertical="center" wrapText="1"/>
    </xf>
    <xf numFmtId="0" fontId="55" fillId="38" borderId="76" xfId="50" applyFont="1" applyFill="1" applyBorder="1" applyAlignment="1" applyProtection="1">
      <alignment horizontal="center" vertical="center"/>
    </xf>
    <xf numFmtId="0" fontId="55" fillId="38" borderId="77" xfId="50" applyFont="1" applyFill="1" applyBorder="1" applyAlignment="1" applyProtection="1">
      <alignment horizontal="center" vertical="center"/>
    </xf>
    <xf numFmtId="0" fontId="55" fillId="38" borderId="78" xfId="50" applyFont="1" applyFill="1" applyBorder="1" applyAlignment="1" applyProtection="1">
      <alignment horizontal="center" vertical="center"/>
    </xf>
    <xf numFmtId="0" fontId="19" fillId="0" borderId="0" xfId="0" applyFont="1" applyAlignment="1">
      <alignment horizontal="left" wrapText="1"/>
    </xf>
    <xf numFmtId="0" fontId="22" fillId="16" borderId="11" xfId="0" applyFont="1" applyFill="1" applyBorder="1" applyAlignment="1">
      <alignment horizontal="center"/>
    </xf>
    <xf numFmtId="0" fontId="22" fillId="16" borderId="8" xfId="0" applyFont="1" applyFill="1" applyBorder="1" applyAlignment="1">
      <alignment horizontal="center"/>
    </xf>
    <xf numFmtId="0" fontId="22" fillId="8" borderId="5" xfId="0" applyFont="1" applyFill="1" applyBorder="1" applyAlignment="1">
      <alignment horizontal="center"/>
    </xf>
    <xf numFmtId="0" fontId="22" fillId="16" borderId="12" xfId="0" applyFont="1" applyFill="1" applyBorder="1" applyAlignment="1">
      <alignment horizontal="center" vertical="center"/>
    </xf>
    <xf numFmtId="0" fontId="24" fillId="0" borderId="0" xfId="0" applyFont="1" applyAlignment="1">
      <alignment horizontal="center" wrapText="1"/>
    </xf>
    <xf numFmtId="0" fontId="22" fillId="4" borderId="2" xfId="0" applyFont="1" applyFill="1" applyBorder="1" applyAlignment="1">
      <alignment horizontal="center"/>
    </xf>
    <xf numFmtId="0" fontId="22" fillId="8" borderId="19" xfId="0" applyFont="1" applyFill="1" applyBorder="1" applyAlignment="1">
      <alignment horizontal="center"/>
    </xf>
    <xf numFmtId="0" fontId="22" fillId="8" borderId="20" xfId="0" applyFont="1" applyFill="1" applyBorder="1" applyAlignment="1">
      <alignment horizontal="center"/>
    </xf>
    <xf numFmtId="0" fontId="22" fillId="8" borderId="21" xfId="0" applyFont="1" applyFill="1" applyBorder="1" applyAlignment="1">
      <alignment horizontal="center"/>
    </xf>
    <xf numFmtId="0" fontId="22" fillId="5" borderId="19" xfId="0" applyFont="1" applyFill="1" applyBorder="1" applyAlignment="1">
      <alignment horizontal="left"/>
    </xf>
    <xf numFmtId="0" fontId="22" fillId="5" borderId="20" xfId="0" applyFont="1" applyFill="1" applyBorder="1" applyAlignment="1">
      <alignment horizontal="left"/>
    </xf>
    <xf numFmtId="0" fontId="22" fillId="5" borderId="21" xfId="0" applyFont="1" applyFill="1" applyBorder="1" applyAlignment="1">
      <alignment horizontal="left"/>
    </xf>
    <xf numFmtId="0" fontId="2" fillId="40" borderId="0" xfId="77" applyFont="1" applyFill="1" applyAlignment="1">
      <alignment horizontal="center"/>
    </xf>
    <xf numFmtId="0" fontId="65" fillId="40" borderId="0" xfId="77" applyFont="1" applyFill="1" applyAlignment="1">
      <alignment horizontal="center" vertical="center" wrapText="1"/>
    </xf>
    <xf numFmtId="0" fontId="65" fillId="40" borderId="41" xfId="77" applyFont="1" applyFill="1" applyBorder="1" applyAlignment="1">
      <alignment horizontal="center" vertical="center" wrapText="1"/>
    </xf>
    <xf numFmtId="0" fontId="66" fillId="40" borderId="0" xfId="77" applyFont="1" applyFill="1" applyAlignment="1">
      <alignment horizontal="center" vertical="center"/>
    </xf>
    <xf numFmtId="0" fontId="66" fillId="40" borderId="41" xfId="77" applyFont="1" applyFill="1" applyBorder="1" applyAlignment="1">
      <alignment horizontal="center" vertical="center"/>
    </xf>
    <xf numFmtId="0" fontId="67" fillId="40" borderId="11" xfId="77" applyFont="1" applyFill="1" applyBorder="1" applyAlignment="1">
      <alignment horizontal="center" vertical="center"/>
    </xf>
    <xf numFmtId="0" fontId="67" fillId="40" borderId="12" xfId="77" applyFont="1" applyFill="1" applyBorder="1" applyAlignment="1">
      <alignment horizontal="center" vertical="center"/>
    </xf>
    <xf numFmtId="0" fontId="67" fillId="40" borderId="8" xfId="77" applyFont="1" applyFill="1" applyBorder="1" applyAlignment="1">
      <alignment horizontal="center" vertical="center"/>
    </xf>
    <xf numFmtId="0" fontId="67" fillId="40" borderId="58" xfId="0" applyFont="1" applyFill="1" applyBorder="1" applyAlignment="1">
      <alignment horizontal="center" vertical="center"/>
    </xf>
    <xf numFmtId="0" fontId="67" fillId="40" borderId="61" xfId="0" applyFont="1" applyFill="1" applyBorder="1" applyAlignment="1">
      <alignment horizontal="center" vertical="center"/>
    </xf>
    <xf numFmtId="0" fontId="67" fillId="40" borderId="53" xfId="0" applyFont="1" applyFill="1" applyBorder="1" applyAlignment="1">
      <alignment horizontal="center" vertical="center"/>
    </xf>
    <xf numFmtId="0" fontId="67" fillId="40" borderId="60" xfId="0" applyFont="1" applyFill="1" applyBorder="1" applyAlignment="1">
      <alignment horizontal="center" vertical="center"/>
    </xf>
    <xf numFmtId="0" fontId="68" fillId="40" borderId="63" xfId="0" applyFont="1" applyFill="1" applyBorder="1" applyAlignment="1">
      <alignment horizontal="center" vertical="center" wrapText="1"/>
    </xf>
    <xf numFmtId="0" fontId="68" fillId="40" borderId="83" xfId="0" applyFont="1" applyFill="1" applyBorder="1" applyAlignment="1">
      <alignment horizontal="center" vertical="center" wrapText="1"/>
    </xf>
    <xf numFmtId="0" fontId="68" fillId="40" borderId="66" xfId="0" applyFont="1" applyFill="1" applyBorder="1" applyAlignment="1">
      <alignment horizontal="center" vertical="center" wrapText="1"/>
    </xf>
    <xf numFmtId="42" fontId="68" fillId="0" borderId="2" xfId="0" applyNumberFormat="1" applyFont="1" applyBorder="1" applyAlignment="1">
      <alignment horizontal="center" vertical="center" wrapText="1"/>
    </xf>
    <xf numFmtId="0" fontId="68" fillId="0" borderId="2" xfId="0" applyFont="1" applyBorder="1" applyAlignment="1">
      <alignment horizontal="center" vertical="center" wrapText="1"/>
    </xf>
    <xf numFmtId="0" fontId="71" fillId="41" borderId="54" xfId="0" applyFont="1" applyFill="1" applyBorder="1" applyAlignment="1">
      <alignment horizontal="center" vertical="center" wrapText="1"/>
    </xf>
    <xf numFmtId="0" fontId="71" fillId="41" borderId="55" xfId="0" applyFont="1" applyFill="1" applyBorder="1" applyAlignment="1">
      <alignment horizontal="center" vertical="center" wrapText="1"/>
    </xf>
    <xf numFmtId="0" fontId="71" fillId="41" borderId="56" xfId="0" applyFont="1" applyFill="1" applyBorder="1" applyAlignment="1">
      <alignment horizontal="center" vertical="center" wrapText="1"/>
    </xf>
    <xf numFmtId="42" fontId="68" fillId="0" borderId="53" xfId="0" applyNumberFormat="1" applyFont="1" applyBorder="1" applyAlignment="1">
      <alignment horizontal="center" vertical="center"/>
    </xf>
    <xf numFmtId="42" fontId="68" fillId="0" borderId="59" xfId="0" applyNumberFormat="1" applyFont="1" applyBorder="1" applyAlignment="1">
      <alignment horizontal="center" vertical="center"/>
    </xf>
    <xf numFmtId="42" fontId="68" fillId="0" borderId="57" xfId="0" applyNumberFormat="1" applyFont="1" applyBorder="1" applyAlignment="1">
      <alignment horizontal="center" vertical="center"/>
    </xf>
    <xf numFmtId="42" fontId="68" fillId="0" borderId="56" xfId="0" applyNumberFormat="1" applyFont="1" applyBorder="1" applyAlignment="1">
      <alignment horizontal="center" vertical="center"/>
    </xf>
    <xf numFmtId="0" fontId="67" fillId="40" borderId="63" xfId="0" applyFont="1" applyFill="1" applyBorder="1" applyAlignment="1">
      <alignment horizontal="center" vertical="center"/>
    </xf>
    <xf numFmtId="42" fontId="68" fillId="0" borderId="58" xfId="0" applyNumberFormat="1" applyFont="1" applyBorder="1" applyAlignment="1">
      <alignment horizontal="center" vertical="center"/>
    </xf>
    <xf numFmtId="42" fontId="68" fillId="0" borderId="64" xfId="0" applyNumberFormat="1" applyFont="1" applyBorder="1" applyAlignment="1">
      <alignment horizontal="center" vertical="center"/>
    </xf>
    <xf numFmtId="42" fontId="68" fillId="0" borderId="62" xfId="0" applyNumberFormat="1" applyFont="1" applyBorder="1" applyAlignment="1">
      <alignment horizontal="center" vertical="center"/>
    </xf>
    <xf numFmtId="42" fontId="68" fillId="0" borderId="65" xfId="0" applyNumberFormat="1" applyFont="1" applyBorder="1" applyAlignment="1">
      <alignment horizontal="center" vertical="center"/>
    </xf>
    <xf numFmtId="0" fontId="71" fillId="42" borderId="2" xfId="0" applyFont="1" applyFill="1" applyBorder="1" applyAlignment="1">
      <alignment horizontal="center" vertical="center" wrapText="1"/>
    </xf>
    <xf numFmtId="42" fontId="68" fillId="0" borderId="2" xfId="0" applyNumberFormat="1" applyFont="1" applyBorder="1" applyAlignment="1">
      <alignment horizontal="center" vertical="center"/>
    </xf>
    <xf numFmtId="0" fontId="68" fillId="40" borderId="61" xfId="0" applyFont="1" applyFill="1" applyBorder="1" applyAlignment="1">
      <alignment horizontal="center" vertical="center" wrapText="1"/>
    </xf>
    <xf numFmtId="0" fontId="68" fillId="40" borderId="0" xfId="0" applyFont="1" applyFill="1" applyAlignment="1">
      <alignment horizontal="center" vertical="center" wrapText="1"/>
    </xf>
    <xf numFmtId="0" fontId="40" fillId="40" borderId="50" xfId="69" applyFont="1" applyFill="1" applyBorder="1" applyAlignment="1">
      <alignment horizontal="center" vertical="center"/>
    </xf>
    <xf numFmtId="0" fontId="40" fillId="40" borderId="6" xfId="69" applyFont="1" applyFill="1" applyBorder="1" applyAlignment="1">
      <alignment horizontal="center" vertical="center"/>
    </xf>
    <xf numFmtId="0" fontId="40" fillId="41" borderId="54" xfId="69" applyFont="1" applyFill="1" applyBorder="1" applyAlignment="1">
      <alignment horizontal="center" vertical="center" wrapText="1"/>
    </xf>
    <xf numFmtId="0" fontId="40" fillId="41" borderId="55" xfId="69" applyFont="1" applyFill="1" applyBorder="1" applyAlignment="1">
      <alignment horizontal="center" vertical="center" wrapText="1"/>
    </xf>
    <xf numFmtId="0" fontId="67" fillId="40" borderId="2" xfId="0" applyFont="1" applyFill="1" applyBorder="1" applyAlignment="1">
      <alignment horizontal="center" vertical="center"/>
    </xf>
    <xf numFmtId="0" fontId="67" fillId="40" borderId="51" xfId="0" applyFont="1" applyFill="1" applyBorder="1" applyAlignment="1">
      <alignment horizontal="center" vertical="center"/>
    </xf>
    <xf numFmtId="0" fontId="67" fillId="40" borderId="40" xfId="0" applyFont="1" applyFill="1" applyBorder="1" applyAlignment="1">
      <alignment horizontal="center" vertical="center"/>
    </xf>
    <xf numFmtId="42" fontId="68" fillId="0" borderId="66" xfId="0" applyNumberFormat="1" applyFont="1" applyBorder="1" applyAlignment="1">
      <alignment horizontal="center" vertical="center"/>
    </xf>
    <xf numFmtId="0" fontId="49" fillId="0" borderId="51" xfId="0" applyFont="1" applyBorder="1" applyAlignment="1">
      <alignment horizontal="center"/>
    </xf>
    <xf numFmtId="0" fontId="49" fillId="0" borderId="6" xfId="0" applyFont="1" applyBorder="1" applyAlignment="1">
      <alignment horizontal="center"/>
    </xf>
    <xf numFmtId="0" fontId="59" fillId="14" borderId="0" xfId="53" applyFont="1" applyFill="1" applyAlignment="1">
      <alignment horizontal="center" vertical="center" wrapText="1"/>
    </xf>
    <xf numFmtId="0" fontId="22" fillId="16" borderId="0" xfId="0" applyFont="1" applyFill="1" applyAlignment="1">
      <alignment horizontal="center"/>
    </xf>
    <xf numFmtId="0" fontId="22" fillId="14" borderId="11" xfId="0" applyFont="1" applyFill="1" applyBorder="1" applyAlignment="1">
      <alignment horizontal="right" vertical="center"/>
    </xf>
    <xf numFmtId="0" fontId="22" fillId="14" borderId="12" xfId="0" applyFont="1" applyFill="1" applyBorder="1" applyAlignment="1">
      <alignment horizontal="right" vertical="center"/>
    </xf>
    <xf numFmtId="0" fontId="22" fillId="14" borderId="8" xfId="0" applyFont="1" applyFill="1" applyBorder="1" applyAlignment="1">
      <alignment horizontal="right" vertical="center"/>
    </xf>
    <xf numFmtId="0" fontId="49" fillId="0" borderId="11" xfId="0" applyFont="1" applyBorder="1" applyAlignment="1">
      <alignment horizontal="right" vertical="center"/>
    </xf>
    <xf numFmtId="0" fontId="49" fillId="0" borderId="12" xfId="0" applyFont="1" applyBorder="1" applyAlignment="1">
      <alignment horizontal="right" vertical="center"/>
    </xf>
    <xf numFmtId="0" fontId="49" fillId="0" borderId="8" xfId="0" applyFont="1" applyBorder="1" applyAlignment="1">
      <alignment horizontal="right" vertical="center"/>
    </xf>
    <xf numFmtId="0" fontId="22" fillId="15" borderId="11" xfId="0" applyFont="1" applyFill="1" applyBorder="1" applyAlignment="1">
      <alignment horizontal="right" vertical="center"/>
    </xf>
    <xf numFmtId="0" fontId="22" fillId="15" borderId="12" xfId="0" applyFont="1" applyFill="1" applyBorder="1" applyAlignment="1">
      <alignment horizontal="right" vertical="center"/>
    </xf>
    <xf numFmtId="0" fontId="22" fillId="15" borderId="8" xfId="0" applyFont="1" applyFill="1" applyBorder="1" applyAlignment="1">
      <alignment horizontal="righ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8" xfId="0" applyFont="1" applyBorder="1" applyAlignment="1">
      <alignment horizontal="left" vertical="center"/>
    </xf>
    <xf numFmtId="0" fontId="22" fillId="0" borderId="11" xfId="0" applyFont="1" applyBorder="1" applyAlignment="1">
      <alignment horizontal="right" vertical="center"/>
    </xf>
    <xf numFmtId="0" fontId="22" fillId="0" borderId="12" xfId="0" applyFont="1" applyBorder="1" applyAlignment="1">
      <alignment horizontal="right" vertical="center"/>
    </xf>
    <xf numFmtId="0" fontId="22" fillId="0" borderId="8" xfId="0" applyFont="1" applyBorder="1" applyAlignment="1">
      <alignment horizontal="right" vertical="center"/>
    </xf>
    <xf numFmtId="0" fontId="22" fillId="21" borderId="11" xfId="0" applyFont="1" applyFill="1" applyBorder="1" applyAlignment="1">
      <alignment horizontal="right" vertical="center"/>
    </xf>
    <xf numFmtId="0" fontId="22" fillId="21" borderId="12" xfId="0" applyFont="1" applyFill="1" applyBorder="1" applyAlignment="1">
      <alignment horizontal="right" vertical="center"/>
    </xf>
    <xf numFmtId="0" fontId="22" fillId="21" borderId="8" xfId="0" applyFont="1" applyFill="1" applyBorder="1" applyAlignment="1">
      <alignment horizontal="right" vertical="center"/>
    </xf>
    <xf numFmtId="0" fontId="22" fillId="11" borderId="11" xfId="0" applyFont="1" applyFill="1" applyBorder="1" applyAlignment="1">
      <alignment horizontal="right" vertical="center"/>
    </xf>
    <xf numFmtId="0" fontId="22" fillId="11" borderId="12" xfId="0" applyFont="1" applyFill="1" applyBorder="1" applyAlignment="1">
      <alignment horizontal="right" vertical="center"/>
    </xf>
    <xf numFmtId="0" fontId="22" fillId="11" borderId="8" xfId="0" applyFont="1" applyFill="1" applyBorder="1" applyAlignment="1">
      <alignment horizontal="right" vertical="center"/>
    </xf>
    <xf numFmtId="0" fontId="22" fillId="16" borderId="11" xfId="0" quotePrefix="1" applyFont="1" applyFill="1" applyBorder="1" applyAlignment="1">
      <alignment horizontal="center" vertical="center" wrapText="1"/>
    </xf>
    <xf numFmtId="0" fontId="22" fillId="16" borderId="12" xfId="0" applyFont="1" applyFill="1" applyBorder="1" applyAlignment="1">
      <alignment horizontal="center" vertical="center" wrapText="1"/>
    </xf>
    <xf numFmtId="0" fontId="22" fillId="16" borderId="8"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2" fillId="12" borderId="11" xfId="0" applyFont="1" applyFill="1" applyBorder="1" applyAlignment="1">
      <alignment horizontal="right" vertical="center"/>
    </xf>
    <xf numFmtId="0" fontId="22" fillId="12" borderId="12" xfId="0" applyFont="1" applyFill="1" applyBorder="1" applyAlignment="1">
      <alignment horizontal="right" vertical="center"/>
    </xf>
    <xf numFmtId="0" fontId="22" fillId="12" borderId="8" xfId="0" applyFont="1" applyFill="1" applyBorder="1" applyAlignment="1">
      <alignment horizontal="right" vertical="center"/>
    </xf>
    <xf numFmtId="0" fontId="19" fillId="0" borderId="50" xfId="0" applyFont="1" applyBorder="1" applyAlignment="1">
      <alignment horizontal="left" wrapText="1"/>
    </xf>
    <xf numFmtId="0" fontId="28" fillId="0" borderId="0" xfId="5" applyFont="1" applyAlignment="1">
      <alignment horizontal="center" vertical="center" wrapText="1"/>
    </xf>
    <xf numFmtId="0" fontId="22" fillId="0" borderId="13" xfId="5" applyFont="1" applyBorder="1" applyAlignment="1">
      <alignment horizontal="justify" vertical="center" wrapText="1"/>
    </xf>
    <xf numFmtId="0" fontId="22" fillId="0" borderId="14" xfId="5" quotePrefix="1" applyFont="1" applyBorder="1" applyAlignment="1">
      <alignment horizontal="justify" vertical="center" wrapText="1"/>
    </xf>
    <xf numFmtId="0" fontId="22" fillId="0" borderId="15" xfId="5" quotePrefix="1" applyFont="1" applyBorder="1" applyAlignment="1">
      <alignment horizontal="justify" vertical="center" wrapText="1"/>
    </xf>
    <xf numFmtId="0" fontId="22" fillId="0" borderId="13" xfId="5" applyFont="1" applyBorder="1" applyAlignment="1">
      <alignment horizontal="right" wrapText="1"/>
    </xf>
    <xf numFmtId="0" fontId="22" fillId="0" borderId="15" xfId="5" applyFont="1" applyBorder="1" applyAlignment="1">
      <alignment horizontal="right" wrapText="1"/>
    </xf>
    <xf numFmtId="0" fontId="22" fillId="0" borderId="14" xfId="5" applyFont="1" applyBorder="1" applyAlignment="1">
      <alignment horizontal="right" wrapText="1"/>
    </xf>
    <xf numFmtId="0" fontId="22" fillId="0" borderId="14" xfId="5" applyFont="1" applyBorder="1" applyAlignment="1">
      <alignment horizontal="justify" vertical="center" wrapText="1"/>
    </xf>
    <xf numFmtId="0" fontId="22" fillId="0" borderId="15" xfId="5" applyFont="1" applyBorder="1" applyAlignment="1">
      <alignment horizontal="justify" vertical="center" wrapText="1"/>
    </xf>
    <xf numFmtId="0" fontId="22" fillId="0" borderId="13" xfId="5" applyFont="1" applyBorder="1" applyAlignment="1">
      <alignment horizontal="justify" vertical="center"/>
    </xf>
    <xf numFmtId="0" fontId="22" fillId="0" borderId="14" xfId="5" applyFont="1" applyBorder="1" applyAlignment="1">
      <alignment horizontal="justify" vertical="center"/>
    </xf>
    <xf numFmtId="0" fontId="22" fillId="0" borderId="15" xfId="5" applyFont="1" applyBorder="1" applyAlignment="1">
      <alignment horizontal="justify" vertical="center"/>
    </xf>
    <xf numFmtId="0" fontId="30" fillId="13" borderId="0" xfId="9" applyFont="1" applyFill="1" applyAlignment="1">
      <alignment horizontal="center" vertical="center" wrapText="1"/>
    </xf>
    <xf numFmtId="0" fontId="24" fillId="17" borderId="0" xfId="9" applyFont="1" applyFill="1" applyAlignment="1">
      <alignment horizontal="center"/>
    </xf>
    <xf numFmtId="0" fontId="31" fillId="0" borderId="0" xfId="9" applyFont="1" applyAlignment="1">
      <alignment horizontal="justify" wrapText="1"/>
    </xf>
    <xf numFmtId="0" fontId="31" fillId="0" borderId="0" xfId="9" applyFont="1" applyAlignment="1">
      <alignment horizontal="justify"/>
    </xf>
    <xf numFmtId="0" fontId="19" fillId="23" borderId="11" xfId="23" applyFill="1" applyBorder="1" applyAlignment="1">
      <alignment horizontal="center" wrapText="1"/>
    </xf>
    <xf numFmtId="0" fontId="19" fillId="23" borderId="8" xfId="23" applyFill="1" applyBorder="1" applyAlignment="1">
      <alignment horizontal="center" wrapText="1"/>
    </xf>
    <xf numFmtId="0" fontId="19" fillId="23" borderId="2" xfId="23" applyFill="1" applyBorder="1" applyAlignment="1">
      <alignment horizontal="center" vertical="center"/>
    </xf>
    <xf numFmtId="0" fontId="51" fillId="0" borderId="36" xfId="44" applyFont="1" applyBorder="1" applyAlignment="1">
      <alignment horizontal="right" vertical="center"/>
    </xf>
    <xf numFmtId="0" fontId="35" fillId="0" borderId="2" xfId="44" applyFont="1" applyBorder="1"/>
    <xf numFmtId="0" fontId="51" fillId="31" borderId="38" xfId="44" applyFont="1" applyFill="1" applyBorder="1" applyAlignment="1">
      <alignment horizontal="right" vertical="center"/>
    </xf>
    <xf numFmtId="0" fontId="35" fillId="32" borderId="39" xfId="44" applyFont="1" applyFill="1" applyBorder="1"/>
    <xf numFmtId="0" fontId="45" fillId="19" borderId="36" xfId="44" applyFont="1" applyFill="1" applyBorder="1" applyAlignment="1">
      <alignment horizontal="right" vertical="center"/>
    </xf>
    <xf numFmtId="0" fontId="51" fillId="30" borderId="36" xfId="44" applyFont="1" applyFill="1" applyBorder="1" applyAlignment="1">
      <alignment horizontal="right" vertical="center"/>
    </xf>
    <xf numFmtId="0" fontId="50" fillId="25" borderId="3" xfId="44" applyFont="1" applyFill="1" applyBorder="1" applyAlignment="1">
      <alignment horizontal="center" vertical="center" wrapText="1"/>
    </xf>
    <xf numFmtId="0" fontId="50" fillId="25" borderId="0" xfId="44" applyFont="1" applyFill="1" applyAlignment="1">
      <alignment horizontal="center" vertical="center" wrapText="1"/>
    </xf>
    <xf numFmtId="0" fontId="50" fillId="26" borderId="3" xfId="44" applyFont="1" applyFill="1" applyBorder="1" applyAlignment="1">
      <alignment horizontal="center" vertical="center"/>
    </xf>
    <xf numFmtId="0" fontId="50" fillId="26" borderId="0" xfId="44" applyFont="1" applyFill="1" applyAlignment="1">
      <alignment horizontal="center" vertical="center"/>
    </xf>
    <xf numFmtId="0" fontId="45" fillId="19" borderId="33" xfId="44" applyFont="1" applyFill="1" applyBorder="1" applyAlignment="1">
      <alignment horizontal="right" vertical="center"/>
    </xf>
    <xf numFmtId="0" fontId="45" fillId="19" borderId="34" xfId="44" applyFont="1" applyFill="1" applyBorder="1" applyAlignment="1">
      <alignment horizontal="right" vertical="center"/>
    </xf>
    <xf numFmtId="0" fontId="22" fillId="0" borderId="2" xfId="0" applyNumberFormat="1" applyFont="1" applyBorder="1" applyAlignment="1">
      <alignment horizontal="right" vertical="center"/>
    </xf>
    <xf numFmtId="42" fontId="19" fillId="5" borderId="16" xfId="5" applyNumberFormat="1" applyFill="1" applyBorder="1" applyAlignment="1">
      <alignment horizontal="center" vertical="center"/>
    </xf>
    <xf numFmtId="10" fontId="22" fillId="4" borderId="2" xfId="7" applyNumberFormat="1" applyFont="1" applyFill="1" applyBorder="1" applyAlignment="1">
      <alignment horizontal="center" vertical="center" wrapText="1"/>
    </xf>
    <xf numFmtId="10" fontId="22" fillId="4" borderId="2" xfId="0" applyNumberFormat="1" applyFont="1" applyFill="1" applyBorder="1" applyAlignment="1">
      <alignment horizontal="center" vertical="center"/>
    </xf>
  </cellXfs>
  <cellStyles count="80">
    <cellStyle name="Bueno" xfId="49" builtinId="26"/>
    <cellStyle name="Entrada" xfId="4" builtinId="20"/>
    <cellStyle name="Hipervínculo 2" xfId="6" xr:uid="{25E25485-9DD2-42CD-8F1F-EC88AF728A8C}"/>
    <cellStyle name="Hipervínculo 3" xfId="43" xr:uid="{02C061E5-0A4D-4F35-B4C8-3F8945998C3D}"/>
    <cellStyle name="Hyperlink" xfId="42" xr:uid="{8C5DFC44-59FB-4C9D-A02A-E57F9CE6FB02}"/>
    <cellStyle name="Millares [0]" xfId="1" builtinId="6"/>
    <cellStyle name="Millares 2 2 2" xfId="19" xr:uid="{D44BD01E-5EA3-4DE3-A9F1-754E33745C1B}"/>
    <cellStyle name="Millares 3" xfId="15" xr:uid="{2D194CB1-2915-4DD5-A122-45C00067A709}"/>
    <cellStyle name="Millares 3 2" xfId="47" xr:uid="{DEDB463D-6C1E-4AA0-8065-83B6206BCACE}"/>
    <cellStyle name="Millares 3 2 2" xfId="40" xr:uid="{038C14F0-F1F8-4055-9F98-0097DC688E7B}"/>
    <cellStyle name="Millares 4 2" xfId="17" xr:uid="{0133510C-5036-4C0D-A150-8E9A409663CC}"/>
    <cellStyle name="Millares 6" xfId="25" xr:uid="{2C7A0AD9-3F97-4189-899F-36747338AB60}"/>
    <cellStyle name="Moneda" xfId="2" builtinId="4"/>
    <cellStyle name="Moneda [0]" xfId="79" builtinId="7"/>
    <cellStyle name="Moneda [0] 10" xfId="66" xr:uid="{78BD9D1F-8313-4667-8D2F-C28A2B5C6C7C}"/>
    <cellStyle name="Moneda [0] 10 2" xfId="78" xr:uid="{3E12E41C-1AF1-45E3-B5A5-FEE2AEA03D34}"/>
    <cellStyle name="Moneda [0] 11" xfId="70" xr:uid="{E9451E67-4ED9-4186-8487-34F092B4F03B}"/>
    <cellStyle name="Moneda [0] 12" xfId="74" xr:uid="{E9D6C1FC-D306-4D52-B06E-C986BB589218}"/>
    <cellStyle name="Moneda [0] 2" xfId="41" xr:uid="{8468C133-DCE1-4ED8-9378-A5203490B664}"/>
    <cellStyle name="Moneda [0] 2 3" xfId="46" xr:uid="{CC2BE51F-FF37-4D81-AA02-50C706D3F916}"/>
    <cellStyle name="Moneda [0] 3" xfId="52" xr:uid="{2EBD3C4E-55BC-4150-88D4-F6B0C89A152E}"/>
    <cellStyle name="Moneda [0] 3 3" xfId="37" xr:uid="{B758DAFE-DA8C-4F57-B442-91F6B647C104}"/>
    <cellStyle name="Moneda [0] 4" xfId="55" xr:uid="{C4919D7C-4688-4D34-9DE2-82F5EBB01980}"/>
    <cellStyle name="Moneda [0] 5" xfId="56" xr:uid="{71E55A95-40BC-4918-B3D5-2DA2DA2440A0}"/>
    <cellStyle name="Moneda [0] 6" xfId="29" xr:uid="{4097AA24-D03B-4103-B18F-F7F6309C14F7}"/>
    <cellStyle name="Moneda [0] 6 2" xfId="36" xr:uid="{33D13F7D-75A0-4650-9F26-54FAAA389EE9}"/>
    <cellStyle name="Moneda [0] 7" xfId="58" xr:uid="{C21DF1B1-226C-4B68-9CDC-9EDE4F0775E6}"/>
    <cellStyle name="Moneda [0] 8" xfId="60" xr:uid="{0120F839-FF3B-4E50-B190-2D33E6850485}"/>
    <cellStyle name="Moneda [0] 9" xfId="63" xr:uid="{EA16CEDC-B560-45B7-A1C7-CCC75CF40F80}"/>
    <cellStyle name="Moneda 10 2" xfId="22" xr:uid="{9ABD52F0-FF08-4D42-BDF2-EBBDE16761B6}"/>
    <cellStyle name="Moneda 2" xfId="8" xr:uid="{A4A30163-92CF-4722-967C-3F1958685E4F}"/>
    <cellStyle name="Moneda 2 2" xfId="20" xr:uid="{91FC8175-78D6-446F-B58F-59408CB91D01}"/>
    <cellStyle name="Moneda 3" xfId="48" xr:uid="{8B8E52B2-468B-4E4D-8FF4-4EEFD28D7BD6}"/>
    <cellStyle name="Moneda 3 2" xfId="18" xr:uid="{2E5A11F1-C024-4D12-BA97-B650B12EA51A}"/>
    <cellStyle name="Moneda 4" xfId="61" xr:uid="{66A9EDCC-0440-446A-AB00-C620975BD6C3}"/>
    <cellStyle name="Moneda 5" xfId="64" xr:uid="{3041BD5A-B46F-4FE8-9EA3-EB7D04965959}"/>
    <cellStyle name="Moneda 6" xfId="67" xr:uid="{A06F2496-EDF2-4558-AEBA-A7898C7B709A}"/>
    <cellStyle name="Moneda 7" xfId="71" xr:uid="{9F880DCE-D073-407C-91AE-B6B347BFC6E2}"/>
    <cellStyle name="Moneda 8" xfId="75" xr:uid="{BD3ED548-5183-4B14-9362-5F68D947F8B9}"/>
    <cellStyle name="Normal" xfId="0" builtinId="0"/>
    <cellStyle name="Normal 10" xfId="28" xr:uid="{EEF6212C-7E71-4EF3-A8C2-4EBD961F811F}"/>
    <cellStyle name="Normal 100 6" xfId="9" xr:uid="{ECE91228-F01D-465C-A959-314BAB806617}"/>
    <cellStyle name="Normal 102" xfId="23" xr:uid="{0E339DC3-2C76-4BFF-9823-48A38E6405BE}"/>
    <cellStyle name="Normal 11" xfId="12" xr:uid="{922D5065-BCA7-40B2-BFC5-FF88A2960685}"/>
    <cellStyle name="Normal 11 2" xfId="77" xr:uid="{04B388AE-0E5E-45F9-BDDC-223E755D4EC8}"/>
    <cellStyle name="Normal 12" xfId="53" xr:uid="{D1884C8A-77CB-4A41-BCE9-B3DCD54B6C88}"/>
    <cellStyle name="Normal 13" xfId="24" xr:uid="{28C11A0A-A5AA-40C3-9732-20A4F8743292}"/>
    <cellStyle name="Normal 14" xfId="65" xr:uid="{82D87969-C088-417C-B0F1-6C5B8884ECA8}"/>
    <cellStyle name="Normal 15" xfId="68" xr:uid="{E87033D9-5A2C-47B9-8BED-A18782090B9A}"/>
    <cellStyle name="Normal 15 2" xfId="73" xr:uid="{46614A00-E640-4CEC-9F02-4F5F7E1607A3}"/>
    <cellStyle name="Normal 16" xfId="69" xr:uid="{C456AABB-2529-44EC-857E-80DAF945A58C}"/>
    <cellStyle name="Normal 17" xfId="72" xr:uid="{87A8A127-D126-428F-8CA3-8C01685DA614}"/>
    <cellStyle name="Normal 2" xfId="5" xr:uid="{36206699-973E-4466-9AF1-B885B73108BC}"/>
    <cellStyle name="Normal 2 2" xfId="13" xr:uid="{EFE00311-9CDA-4EA6-8C00-CDAAD8228A22}"/>
    <cellStyle name="Normal 2 2 2 2" xfId="31" xr:uid="{4EB23DA8-6889-4921-8E51-59E4B9B4DAF3}"/>
    <cellStyle name="Normal 3" xfId="11" xr:uid="{8E21C21D-F17C-463C-A3CB-7E7096B945E4}"/>
    <cellStyle name="Normal 3 2 2" xfId="33" xr:uid="{C050CFA3-F81F-45BB-B28D-735F5023A717}"/>
    <cellStyle name="Normal 3 4" xfId="21" xr:uid="{2D047790-C13F-47D8-87B5-29D5CD3CC07E}"/>
    <cellStyle name="Normal 3 4 2" xfId="38" xr:uid="{1D9EEBDE-3EB1-41EE-939E-2999360673A6}"/>
    <cellStyle name="Normal 3 5" xfId="34" xr:uid="{68D41205-14F1-4258-8C34-276D7863EBAF}"/>
    <cellStyle name="Normal 4" xfId="51" xr:uid="{00A01055-06C0-4A77-82FA-90B3B74C9D60}"/>
    <cellStyle name="Normal 4 2 2" xfId="30" xr:uid="{16119B13-3CE2-4EB2-8AED-3845DBF2EBFE}"/>
    <cellStyle name="Normal 4 3" xfId="44" xr:uid="{83A5BB76-9580-48AC-90A1-2FBD45C876BE}"/>
    <cellStyle name="Normal 4 9" xfId="76" xr:uid="{44A85577-FC29-4058-83C8-81A581519B6D}"/>
    <cellStyle name="Normal 5" xfId="54" xr:uid="{24818478-8D17-4F45-BB04-775CB79A6341}"/>
    <cellStyle name="Normal 6" xfId="57" xr:uid="{E15CB229-F43B-4067-9999-4BD6A13F73E2}"/>
    <cellStyle name="Normal 6 2" xfId="35" xr:uid="{4B65C2E4-8573-4A09-8941-626936F8F590}"/>
    <cellStyle name="Normal 6 2 2" xfId="14" xr:uid="{643CCC9C-2EC0-4668-9847-1E28F64B102B}"/>
    <cellStyle name="Normal 7" xfId="59" xr:uid="{6B753501-EDC6-4035-A22E-A98C0F9D4E17}"/>
    <cellStyle name="Normal 8" xfId="62" xr:uid="{757E5248-8082-4A02-A82D-B402C124ABF2}"/>
    <cellStyle name="Normal 9" xfId="45" xr:uid="{2A62F4F5-3A62-4023-B644-5B1EE5D88B24}"/>
    <cellStyle name="Porcentaje" xfId="3" builtinId="5"/>
    <cellStyle name="Porcentaje 2" xfId="10" xr:uid="{09201CD2-5022-4073-AD53-A10B1F466A58}"/>
    <cellStyle name="Porcentaje 2 2" xfId="32" xr:uid="{B61463F0-3312-4EB6-9DA6-13306F277BF9}"/>
    <cellStyle name="Porcentaje 2 3" xfId="39" xr:uid="{89FA4787-31BA-440A-BF6C-CF29D87A14E5}"/>
    <cellStyle name="Porcentaje 3" xfId="7" xr:uid="{3412B457-484E-4711-91B7-5BF01C8A5055}"/>
    <cellStyle name="Porcentaje 4" xfId="26" xr:uid="{B4BA8E34-C878-4562-858E-45DE6DFE6297}"/>
    <cellStyle name="Porcentual 2" xfId="16" xr:uid="{7470D3E0-3295-4DD9-BBD6-EA2D9BA65A18}"/>
    <cellStyle name="Porcentual 2 2" xfId="27" xr:uid="{0D3FF8A4-8E3F-446A-B9F4-1F57DCDBA1AB}"/>
    <cellStyle name="Total" xfId="50" builtinId="25"/>
  </cellStyles>
  <dxfs count="49">
    <dxf>
      <font>
        <color rgb="FF9C0006"/>
      </font>
      <fill>
        <patternFill>
          <bgColor rgb="FFFFC7CE"/>
        </patternFill>
      </fill>
    </dxf>
    <dxf>
      <font>
        <color rgb="FF9C0006"/>
      </font>
      <fill>
        <patternFill>
          <bgColor rgb="FFFFC7CE"/>
        </patternFill>
      </fill>
    </dxf>
    <dxf>
      <font>
        <color rgb="FF9C0006"/>
      </font>
    </dxf>
    <dxf>
      <font>
        <b val="0"/>
        <i val="0"/>
        <strike val="0"/>
        <condense val="0"/>
        <extend val="0"/>
        <outline val="0"/>
        <shadow val="0"/>
        <u val="none"/>
        <vertAlign val="baseline"/>
        <sz val="11"/>
        <color auto="1"/>
        <name val="Arial Unicode MS"/>
        <scheme val="none"/>
      </font>
      <numFmt numFmtId="167" formatCode="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quot;$&quot;\ #,##0"/>
      <fill>
        <patternFill>
          <fgColor indexed="64"/>
          <bgColor theme="0"/>
        </patternFill>
      </fill>
      <alignment horizontal="center" vertical="center" textRotation="0" wrapText="0" indent="0" justifyLastLine="0" shrinkToFit="0" readingOrder="0"/>
    </dxf>
    <dxf>
      <font>
        <b val="0"/>
        <strike val="0"/>
        <outline val="0"/>
        <shadow val="0"/>
        <u val="none"/>
        <vertAlign val="baseline"/>
        <sz val="11"/>
        <color auto="1"/>
        <name val="Arial"/>
        <scheme val="none"/>
      </font>
      <numFmt numFmtId="165" formatCode="&quot;$&quot;\ #,##0"/>
      <fill>
        <patternFill patternType="none">
          <fgColor indexed="64"/>
          <bgColor theme="0"/>
        </patternFill>
      </fill>
      <alignment horizontal="center" textRotation="0" wrapText="0" indent="0" justifyLastLine="0" shrinkToFit="0" readingOrder="0"/>
    </dxf>
    <dxf>
      <font>
        <b val="0"/>
        <i val="0"/>
        <strike val="0"/>
        <condense val="0"/>
        <extend val="0"/>
        <outline val="0"/>
        <shadow val="0"/>
        <u val="none"/>
        <vertAlign val="baseline"/>
        <sz val="11"/>
        <color auto="1"/>
        <name val="Arial"/>
        <scheme val="none"/>
      </font>
      <fill>
        <patternFill>
          <fgColor indexed="64"/>
          <bgColor theme="0"/>
        </patternFill>
      </fill>
      <alignment horizontal="center" vertical="center" textRotation="0" wrapText="0" indent="0" justifyLastLine="0" shrinkToFit="0" readingOrder="0"/>
    </dxf>
    <dxf>
      <font>
        <b val="0"/>
        <strike val="0"/>
        <outline val="0"/>
        <shadow val="0"/>
        <sz val="11"/>
        <color auto="1"/>
      </font>
      <fill>
        <patternFill patternType="none">
          <fgColor indexed="64"/>
          <bgColor theme="0"/>
        </patternFill>
      </fill>
      <alignment horizontal="center" textRotation="0" wrapText="0" indent="0" justifyLastLine="0" shrinkToFit="0" readingOrder="0"/>
    </dxf>
    <dxf>
      <font>
        <b val="0"/>
        <strike val="0"/>
        <outline val="0"/>
        <shadow val="0"/>
        <sz val="11"/>
        <color auto="1"/>
      </font>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center" vertical="center" textRotation="0" wrapText="0" indent="0" justifyLastLine="0" shrinkToFit="0" readingOrder="0"/>
    </dxf>
    <dxf>
      <font>
        <b val="0"/>
        <strike val="0"/>
        <outline val="0"/>
        <shadow val="0"/>
        <sz val="11"/>
        <color auto="1"/>
      </font>
      <fill>
        <patternFill patternType="none">
          <fgColor indexed="64"/>
          <bgColor theme="0"/>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sz val="11"/>
        <color auto="1"/>
      </font>
      <fill>
        <patternFill patternType="none">
          <fgColor indexed="64"/>
          <bgColor theme="0"/>
        </patternFill>
      </fill>
      <alignment horizont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horizontal/>
      </border>
    </dxf>
    <dxf>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 #,##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numFmt numFmtId="32" formatCode="_-&quot;$&quot;\ * #,##0_-;\-&quot;$&quot;\ * #,##0_-;_-&quot;$&quot;\ * &quot;-&quot;_-;_-@_-"/>
      <alignment horizontal="center" vertical="center"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rgb="FF00B050"/>
        </left>
        <right style="thin">
          <color rgb="FF00B050"/>
        </right>
        <top style="thin">
          <color rgb="FF00B050"/>
        </top>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thin">
          <color rgb="FF00B050"/>
        </left>
        <right style="thin">
          <color rgb="FF00B050"/>
        </right>
        <top style="thin">
          <color rgb="FF00B050"/>
        </top>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rgb="FF00B050"/>
        </right>
        <top style="thin">
          <color rgb="FF00B050"/>
        </top>
        <bottom style="thin">
          <color rgb="FF00B050"/>
        </bottom>
        <vertical/>
        <horizontal/>
      </border>
    </dxf>
    <dxf>
      <border outline="0">
        <top style="thin">
          <color rgb="FF00B050"/>
        </top>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
      <font>
        <b val="0"/>
        <i val="0"/>
        <strike val="0"/>
        <condense val="0"/>
        <extend val="0"/>
        <outline val="0"/>
        <shadow val="0"/>
        <u val="none"/>
        <vertAlign val="baseline"/>
        <sz val="10"/>
        <color auto="1"/>
        <name val="Arial"/>
        <family val="2"/>
        <scheme val="none"/>
      </font>
      <numFmt numFmtId="22" formatCode="mmm\-yy"/>
      <alignment horizontal="center" vertical="bottom" textRotation="0" wrapText="0" indent="0" justifyLastLine="0" shrinkToFit="0" readingOrder="0"/>
      <border diagonalUp="0" diagonalDown="0">
        <left style="thin">
          <color rgb="FF00B050"/>
        </left>
        <right/>
        <top style="thin">
          <color rgb="FF00B050"/>
        </top>
        <bottom style="thin">
          <color rgb="FF00B050"/>
        </bottom>
        <vertical/>
        <horizontal/>
      </border>
    </dxf>
    <dxf>
      <alignment horizontal="center" vertical="bottom"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numFmt numFmtId="32" formatCode="_-&quot;$&quot;\ * #,##0_-;\-&quot;$&quot;\ * #,##0_-;_-&quot;$&quot;\ * &quot;-&quot;_-;_-@_-"/>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rgb="FF00B050"/>
        </right>
        <top style="thin">
          <color rgb="FF00B050"/>
        </top>
        <bottom style="thin">
          <color rgb="FF00B050"/>
        </bottom>
        <vertical/>
        <horizontal/>
      </border>
    </dxf>
    <dxf>
      <border outline="0">
        <left style="thin">
          <color rgb="FF00B050"/>
        </left>
        <right style="thin">
          <color rgb="FF00B050"/>
        </right>
        <top style="thin">
          <color rgb="FF00B050"/>
        </top>
        <bottom style="thin">
          <color rgb="FF00B050"/>
        </bottom>
      </border>
    </dxf>
    <dxf>
      <border outline="0">
        <bottom style="thin">
          <color rgb="FF00B050"/>
        </bottom>
      </border>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rgb="FF00B050"/>
        </left>
        <right style="thin">
          <color rgb="FF00B05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7523e511-f4d5-44c4-b894-6f0af6ce0791" TargetMode="External"/><Relationship Id="rId1" Type="http://schemas.openxmlformats.org/officeDocument/2006/relationships/image" Target="../media/image4.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217714</xdr:colOff>
      <xdr:row>35</xdr:row>
      <xdr:rowOff>272144</xdr:rowOff>
    </xdr:from>
    <xdr:to>
      <xdr:col>1</xdr:col>
      <xdr:colOff>1895844</xdr:colOff>
      <xdr:row>36</xdr:row>
      <xdr:rowOff>685800</xdr:rowOff>
    </xdr:to>
    <xdr:pic>
      <xdr:nvPicPr>
        <xdr:cNvPr id="3" name="Imagen 8" descr="Texto&#10;&#10;Descripción generada automáticamente">
          <a:extLst>
            <a:ext uri="{FF2B5EF4-FFF2-40B4-BE49-F238E27FC236}">
              <a16:creationId xmlns:a16="http://schemas.microsoft.com/office/drawing/2014/main" id="{7A9732F5-C9F9-4654-AB5F-B7CC0B8381F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53143" y="5725887"/>
          <a:ext cx="1678130" cy="70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1030755</xdr:colOff>
      <xdr:row>18</xdr:row>
      <xdr:rowOff>430467</xdr:rowOff>
    </xdr:from>
    <xdr:to>
      <xdr:col>10</xdr:col>
      <xdr:colOff>707839</xdr:colOff>
      <xdr:row>20</xdr:row>
      <xdr:rowOff>54403</xdr:rowOff>
    </xdr:to>
    <xdr:sp macro="" textlink="">
      <xdr:nvSpPr>
        <xdr:cNvPr id="4" name="Llamada ovalada 2">
          <a:extLst>
            <a:ext uri="{FF2B5EF4-FFF2-40B4-BE49-F238E27FC236}">
              <a16:creationId xmlns:a16="http://schemas.microsoft.com/office/drawing/2014/main" id="{CB281505-6B79-4ABC-AD9A-C29C868634F8}"/>
            </a:ext>
          </a:extLst>
        </xdr:cNvPr>
        <xdr:cNvSpPr/>
      </xdr:nvSpPr>
      <xdr:spPr>
        <a:xfrm>
          <a:off x="13857755" y="14155538"/>
          <a:ext cx="1019655" cy="567365"/>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1016000</xdr:colOff>
      <xdr:row>18</xdr:row>
      <xdr:rowOff>426358</xdr:rowOff>
    </xdr:from>
    <xdr:to>
      <xdr:col>10</xdr:col>
      <xdr:colOff>769284</xdr:colOff>
      <xdr:row>19</xdr:row>
      <xdr:rowOff>207419</xdr:rowOff>
    </xdr:to>
    <xdr:sp macro="" textlink="">
      <xdr:nvSpPr>
        <xdr:cNvPr id="5" name="CuadroTexto 4">
          <a:extLst>
            <a:ext uri="{FF2B5EF4-FFF2-40B4-BE49-F238E27FC236}">
              <a16:creationId xmlns:a16="http://schemas.microsoft.com/office/drawing/2014/main" id="{EB0F3F54-1531-452C-BA6F-B168E004C8AC}"/>
            </a:ext>
          </a:extLst>
        </xdr:cNvPr>
        <xdr:cNvSpPr txBox="1"/>
      </xdr:nvSpPr>
      <xdr:spPr>
        <a:xfrm>
          <a:off x="13843000" y="14151429"/>
          <a:ext cx="1095855" cy="497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twoCellAnchor>
    <xdr:from>
      <xdr:col>9</xdr:col>
      <xdr:colOff>1001727</xdr:colOff>
      <xdr:row>23</xdr:row>
      <xdr:rowOff>138366</xdr:rowOff>
    </xdr:from>
    <xdr:to>
      <xdr:col>10</xdr:col>
      <xdr:colOff>678811</xdr:colOff>
      <xdr:row>26</xdr:row>
      <xdr:rowOff>25374</xdr:rowOff>
    </xdr:to>
    <xdr:sp macro="" textlink="">
      <xdr:nvSpPr>
        <xdr:cNvPr id="6" name="Llamada ovalada 2">
          <a:extLst>
            <a:ext uri="{FF2B5EF4-FFF2-40B4-BE49-F238E27FC236}">
              <a16:creationId xmlns:a16="http://schemas.microsoft.com/office/drawing/2014/main" id="{1F3340A3-7018-4B53-A081-31B805F556C4}"/>
            </a:ext>
          </a:extLst>
        </xdr:cNvPr>
        <xdr:cNvSpPr/>
      </xdr:nvSpPr>
      <xdr:spPr>
        <a:xfrm>
          <a:off x="13828727" y="15487223"/>
          <a:ext cx="1019655" cy="567365"/>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986972</xdr:colOff>
      <xdr:row>23</xdr:row>
      <xdr:rowOff>134257</xdr:rowOff>
    </xdr:from>
    <xdr:to>
      <xdr:col>10</xdr:col>
      <xdr:colOff>740256</xdr:colOff>
      <xdr:row>25</xdr:row>
      <xdr:rowOff>178389</xdr:rowOff>
    </xdr:to>
    <xdr:sp macro="" textlink="">
      <xdr:nvSpPr>
        <xdr:cNvPr id="7" name="CuadroTexto 6">
          <a:extLst>
            <a:ext uri="{FF2B5EF4-FFF2-40B4-BE49-F238E27FC236}">
              <a16:creationId xmlns:a16="http://schemas.microsoft.com/office/drawing/2014/main" id="{927F7012-668B-4C87-9A14-82A167652507}"/>
            </a:ext>
          </a:extLst>
        </xdr:cNvPr>
        <xdr:cNvSpPr txBox="1"/>
      </xdr:nvSpPr>
      <xdr:spPr>
        <a:xfrm>
          <a:off x="13813972" y="15483114"/>
          <a:ext cx="1095855" cy="497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50"/>
            <a:t>INSERTAR</a:t>
          </a:r>
          <a:r>
            <a:rPr lang="es-CO" sz="1050" baseline="0"/>
            <a:t> PORCENTAJES DE AIU</a:t>
          </a:r>
          <a:endParaRPr lang="es-CO"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63500</xdr:rowOff>
    </xdr:from>
    <xdr:to>
      <xdr:col>0</xdr:col>
      <xdr:colOff>984449</xdr:colOff>
      <xdr:row>3</xdr:row>
      <xdr:rowOff>0</xdr:rowOff>
    </xdr:to>
    <xdr:pic>
      <xdr:nvPicPr>
        <xdr:cNvPr id="2" name="Imagen 1">
          <a:extLst>
            <a:ext uri="{FF2B5EF4-FFF2-40B4-BE49-F238E27FC236}">
              <a16:creationId xmlns:a16="http://schemas.microsoft.com/office/drawing/2014/main" id="{6139CCF0-5A89-4731-A11C-7E53C433C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30449" cy="904240"/>
        </a:xfrm>
        <a:prstGeom prst="rect">
          <a:avLst/>
        </a:prstGeom>
      </xdr:spPr>
    </xdr:pic>
    <xdr:clientData/>
  </xdr:twoCellAnchor>
  <xdr:twoCellAnchor editAs="oneCell">
    <xdr:from>
      <xdr:col>0</xdr:col>
      <xdr:colOff>239486</xdr:colOff>
      <xdr:row>0</xdr:row>
      <xdr:rowOff>54429</xdr:rowOff>
    </xdr:from>
    <xdr:to>
      <xdr:col>0</xdr:col>
      <xdr:colOff>969935</xdr:colOff>
      <xdr:row>3</xdr:row>
      <xdr:rowOff>726</xdr:rowOff>
    </xdr:to>
    <xdr:pic>
      <xdr:nvPicPr>
        <xdr:cNvPr id="3" name="Imagen 2">
          <a:extLst>
            <a:ext uri="{FF2B5EF4-FFF2-40B4-BE49-F238E27FC236}">
              <a16:creationId xmlns:a16="http://schemas.microsoft.com/office/drawing/2014/main" id="{165345F5-B615-4084-826C-F3AD16B22E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486" y="54429"/>
          <a:ext cx="730449" cy="929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172721</xdr:colOff>
      <xdr:row>23</xdr:row>
      <xdr:rowOff>123009</xdr:rowOff>
    </xdr:from>
    <xdr:to>
      <xdr:col>13</xdr:col>
      <xdr:colOff>198685</xdr:colOff>
      <xdr:row>35</xdr:row>
      <xdr:rowOff>130629</xdr:rowOff>
    </xdr:to>
    <xdr:pic>
      <xdr:nvPicPr>
        <xdr:cNvPr id="7" name="Imagen 6">
          <a:extLst>
            <a:ext uri="{FF2B5EF4-FFF2-40B4-BE49-F238E27FC236}">
              <a16:creationId xmlns:a16="http://schemas.microsoft.com/office/drawing/2014/main" id="{7079515D-9A49-4EF1-A9EB-CA5559BFF16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81092" y="4542609"/>
          <a:ext cx="4793907" cy="1999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26894</xdr:colOff>
      <xdr:row>3</xdr:row>
      <xdr:rowOff>8965</xdr:rowOff>
    </xdr:from>
    <xdr:to>
      <xdr:col>10</xdr:col>
      <xdr:colOff>599767</xdr:colOff>
      <xdr:row>22</xdr:row>
      <xdr:rowOff>114669</xdr:rowOff>
    </xdr:to>
    <xdr:pic>
      <xdr:nvPicPr>
        <xdr:cNvPr id="6" name="Imagen 5">
          <a:extLst>
            <a:ext uri="{FF2B5EF4-FFF2-40B4-BE49-F238E27FC236}">
              <a16:creationId xmlns:a16="http://schemas.microsoft.com/office/drawing/2014/main" id="{E8848BB3-B682-4125-9713-1BCC4CC8FA93}"/>
            </a:ext>
          </a:extLst>
        </xdr:cNvPr>
        <xdr:cNvPicPr>
          <a:picLocks noChangeAspect="1"/>
        </xdr:cNvPicPr>
      </xdr:nvPicPr>
      <xdr:blipFill>
        <a:blip xmlns:r="http://schemas.openxmlformats.org/officeDocument/2006/relationships" r:embed="rId3"/>
        <a:stretch>
          <a:fillRect/>
        </a:stretch>
      </xdr:blipFill>
      <xdr:spPr>
        <a:xfrm>
          <a:off x="7109012" y="1075765"/>
          <a:ext cx="2939555" cy="3404716"/>
        </a:xfrm>
        <a:prstGeom prst="rect">
          <a:avLst/>
        </a:prstGeom>
      </xdr:spPr>
    </xdr:pic>
    <xdr:clientData/>
  </xdr:twoCellAnchor>
  <xdr:twoCellAnchor editAs="oneCell">
    <xdr:from>
      <xdr:col>10</xdr:col>
      <xdr:colOff>573741</xdr:colOff>
      <xdr:row>5</xdr:row>
      <xdr:rowOff>0</xdr:rowOff>
    </xdr:from>
    <xdr:to>
      <xdr:col>15</xdr:col>
      <xdr:colOff>4092</xdr:colOff>
      <xdr:row>22</xdr:row>
      <xdr:rowOff>5670</xdr:rowOff>
    </xdr:to>
    <xdr:pic>
      <xdr:nvPicPr>
        <xdr:cNvPr id="8" name="Imagen 7">
          <a:extLst>
            <a:ext uri="{FF2B5EF4-FFF2-40B4-BE49-F238E27FC236}">
              <a16:creationId xmlns:a16="http://schemas.microsoft.com/office/drawing/2014/main" id="{CA113375-C82A-4582-B986-2806C9F49E25}"/>
            </a:ext>
          </a:extLst>
        </xdr:cNvPr>
        <xdr:cNvPicPr>
          <a:picLocks noChangeAspect="1"/>
        </xdr:cNvPicPr>
      </xdr:nvPicPr>
      <xdr:blipFill rotWithShape="1">
        <a:blip xmlns:r="http://schemas.openxmlformats.org/officeDocument/2006/relationships" r:embed="rId4"/>
        <a:srcRect l="10238"/>
        <a:stretch/>
      </xdr:blipFill>
      <xdr:spPr>
        <a:xfrm>
          <a:off x="10022541" y="1407459"/>
          <a:ext cx="3366977" cy="2964023"/>
        </a:xfrm>
        <a:prstGeom prst="rect">
          <a:avLst/>
        </a:prstGeom>
      </xdr:spPr>
    </xdr:pic>
    <xdr:clientData/>
  </xdr:twoCellAnchor>
  <xdr:twoCellAnchor editAs="oneCell">
    <xdr:from>
      <xdr:col>6</xdr:col>
      <xdr:colOff>62753</xdr:colOff>
      <xdr:row>41</xdr:row>
      <xdr:rowOff>161365</xdr:rowOff>
    </xdr:from>
    <xdr:to>
      <xdr:col>14</xdr:col>
      <xdr:colOff>727193</xdr:colOff>
      <xdr:row>52</xdr:row>
      <xdr:rowOff>34846</xdr:rowOff>
    </xdr:to>
    <xdr:pic>
      <xdr:nvPicPr>
        <xdr:cNvPr id="9" name="Imagen 8">
          <a:extLst>
            <a:ext uri="{FF2B5EF4-FFF2-40B4-BE49-F238E27FC236}">
              <a16:creationId xmlns:a16="http://schemas.microsoft.com/office/drawing/2014/main" id="{34F1A6CE-EA76-434E-8DA6-6AF8026BD4E7}"/>
            </a:ext>
          </a:extLst>
        </xdr:cNvPr>
        <xdr:cNvPicPr>
          <a:picLocks noChangeAspect="1"/>
        </xdr:cNvPicPr>
      </xdr:nvPicPr>
      <xdr:blipFill>
        <a:blip xmlns:r="http://schemas.openxmlformats.org/officeDocument/2006/relationships" r:embed="rId5"/>
        <a:stretch>
          <a:fillRect/>
        </a:stretch>
      </xdr:blipFill>
      <xdr:spPr>
        <a:xfrm>
          <a:off x="6355977" y="7808259"/>
          <a:ext cx="6975592" cy="30828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esupuesto%20T\TIERRA%20BUENA%20FACTIBILIDAD%2010.09.2004%2040%20CASAS%20264%20APARTAMENTOS%20(CD%2015.09.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ledu-my.sharepoint.com/HP/Documentos/MSOFFICE/Excel/SIACE/EXCEL/PPTO98/JAGUA/JAGUA1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laneacionnacional-my.sharepoint.com/AFE/Mining/Admin/Template%20Models/Blank%2027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onte\Downloads\PPTO%20MAICAO.%20LA%20GUAJIRA%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naledu-my.sharepoint.com/MESING/Unidad%20C/00-2004/San%20Pedro/Lagunas/Linea%20de%20Impul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PA 50 SMMLV"/>
      <sheetName val="PYG aptos"/>
      <sheetName val="67,15% APT Y 32,85% CASAS ACIDO"/>
      <sheetName val="PYG COMBINADO ACIDO"/>
      <sheetName val="67,15% APT Y 32,85% CASAS"/>
      <sheetName val="PYG COMBINADO"/>
      <sheetName val="FLUJO DE CAJA"/>
      <sheetName val="SUPUES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
      <sheetName val="Gráfico1"/>
      <sheetName val="MD"/>
      <sheetName val="AXD"/>
      <sheetName val="MI"/>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MAIN"/>
      <sheetName val="DIV INC"/>
      <sheetName val="LBO Analysis"/>
      <sheetName val="Multiple"/>
      <sheetName val="Perpetuity"/>
      <sheetName val="DCF 3"/>
      <sheetName val="WACC II"/>
      <sheetName val="S&amp;P"/>
      <sheetName val="Developer Notes"/>
      <sheetName val="EQ. IRR"/>
      <sheetName val="COVEN"/>
      <sheetName val="SUMMARY"/>
      <sheetName val="Reconciliation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CONS"/>
      <sheetName val="EQUI"/>
      <sheetName val="OTROS 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3684C0-EDE7-4618-854A-6874DCA92E03}" name="Materiales3" displayName="Materiales3" ref="A4:H394" totalsRowShown="0" headerRowDxfId="15" dataDxfId="13" headerRowBorderDxfId="14" tableBorderDxfId="12" totalsRowBorderDxfId="11">
  <autoFilter ref="A4:H394" xr:uid="{00000000-0009-0000-0100-000001000000}"/>
  <tableColumns count="8">
    <tableColumn id="1" xr3:uid="{FFA95C64-7DA0-4166-A422-00E465E67D3C}" name="Codigo" dataDxfId="10"/>
    <tableColumn id="5" xr3:uid="{9571E13D-13E7-462D-B6ED-4F0B5B3AD67C}" name="CATEGORÍA" dataDxfId="9"/>
    <tableColumn id="2" xr3:uid="{F26C4EE4-72DB-4281-B069-16342AA9DA1D}" name="Material" dataDxfId="8"/>
    <tableColumn id="3" xr3:uid="{06FAE055-B6F9-4D39-B0EC-221B7A944847}" name="Unidad" dataDxfId="7"/>
    <tableColumn id="6" xr3:uid="{D5004293-04F4-41B8-9433-0585688B30F8}" name="Peso Kg" dataDxfId="6"/>
    <tableColumn id="4" xr3:uid="{8471C117-D86E-4D70-8E9E-E96C17D86025}" name="Valor Unitario" dataDxfId="5"/>
    <tableColumn id="20" xr3:uid="{F59776AE-CF2E-4D9C-929C-636536ABADFD}" name="PRECIO BASE" dataDxfId="4"/>
    <tableColumn id="19" xr3:uid="{534B682B-FF71-40E3-967C-AFC88D5ED978}" name="AJUSTE POSITIVO" dataDxfId="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2B3EC-6D36-4DA1-965C-49A513F8BC59}" name="Equipoyherramienta" displayName="Equipoyherramienta" ref="A3:F8" totalsRowShown="0" headerRowDxfId="48" headerRowBorderDxfId="47" tableBorderDxfId="46">
  <autoFilter ref="A3:F8" xr:uid="{6982B3EC-6D36-4DA1-965C-49A513F8BC59}"/>
  <tableColumns count="6">
    <tableColumn id="1" xr3:uid="{336846CE-245A-4FF0-9E63-2821F78C27BC}" name="cod" dataDxfId="45"/>
    <tableColumn id="2" xr3:uid="{F472F5CE-5BEC-4FB1-BBAC-D4FFB5AF4477}" name="Descripción" dataDxfId="44"/>
    <tableColumn id="6" xr3:uid="{92C2F184-E4DF-4892-9A09-DACF0745652A}" name="UNIDAD" dataDxfId="43"/>
    <tableColumn id="3" xr3:uid="{946AF8CF-11E6-42B3-8100-2402BE4131BE}" name="Tarifa / día" dataDxfId="42"/>
    <tableColumn id="4" xr3:uid="{E7656350-F8DE-414A-BA5D-E9B412CA71A0}" name="Fuente" dataDxfId="41" dataCellStyle="Hipervínculo 2"/>
    <tableColumn id="5" xr3:uid="{1C85D6BD-5F6B-450A-8E61-9D6422864981}" name="Fecha" dataDxfId="40">
      <calculatedColumnFormula>+F3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62D098-83A8-4BC0-983E-2A965A515613}" name="Transp." displayName="Transp." ref="A3:F11" totalsRowShown="0" headerRowDxfId="39" headerRowBorderDxfId="38" tableBorderDxfId="37" totalsRowBorderDxfId="36">
  <autoFilter ref="A3:F11" xr:uid="{7F62D098-83A8-4BC0-983E-2A965A515613}"/>
  <tableColumns count="6">
    <tableColumn id="1" xr3:uid="{5F5000B2-7865-422F-9EFF-DAC183C90069}" name="cod," dataDxfId="35"/>
    <tableColumn id="6" xr3:uid="{B0FF3633-4E97-47DE-B7A9-C37BFCDCAC54}" name="Tipo de Transporte2" dataDxfId="34"/>
    <tableColumn id="2" xr3:uid="{E01FBDBF-F81F-4E89-A3FF-EA6B8C2FA334}" name="Origen" dataDxfId="33"/>
    <tableColumn id="3" xr3:uid="{AE8F12A7-94AA-459F-B2B7-DC5A557CFC65}" name="Destino" dataDxfId="32"/>
    <tableColumn id="4" xr3:uid="{62034CBA-3D84-4306-9939-A3ED3C7E18E1}" name="Valor / Persona" dataDxfId="31"/>
    <tableColumn id="5" xr3:uid="{C8EA3120-46D2-4045-A7C3-E426A4655B8A}" name="Valor / Kg" dataDxfId="3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131E29-FE31-4F7C-A223-3A232932F76E}" name="ManoObra" displayName="ManoObra" ref="A12:K33" totalsRowShown="0" headerRowDxfId="29" headerRowBorderDxfId="28" tableBorderDxfId="27">
  <autoFilter ref="A12:K33" xr:uid="{00000000-0009-0000-0100-000002000000}"/>
  <tableColumns count="11">
    <tableColumn id="8" xr3:uid="{3B28F253-1972-4B50-B6A6-208F986A69BE}" name="Código" dataDxfId="26"/>
    <tableColumn id="1" xr3:uid="{987AD682-B05C-479F-807A-1FC9173FAE8A}" name="Cargo" dataDxfId="25"/>
    <tableColumn id="9" xr3:uid="{1FAE7AD2-14B7-4C53-9BF4-AF51A6FF446E}" name="Categoría" dataDxfId="24"/>
    <tableColumn id="2" xr3:uid="{989ECBBE-CA8B-4534-8463-01071443D25F}" name="Valor mensual base" dataDxfId="23" dataCellStyle="Entrada"/>
    <tableColumn id="3" xr3:uid="{A8E552E3-F043-4A2E-9922-C1C3D73EBBF6}" name="Auxilio de transporte" dataDxfId="22">
      <calculatedColumnFormula>IF(G13&gt;2*$C$5,0,$C$6)</calculatedColumnFormula>
    </tableColumn>
    <tableColumn id="4" xr3:uid="{511A0139-36B5-4EE9-A351-27284D357A9C}" name="Margen positivo" dataDxfId="21">
      <calculatedColumnFormula>$C$7</calculatedColumnFormula>
    </tableColumn>
    <tableColumn id="11" xr3:uid="{A8B73C87-774D-40F0-BA9B-43CCAC00890E}" name="Valor mensual proyectado 2026" dataDxfId="20" dataCellStyle="Entrada">
      <calculatedColumnFormula>+ManoObra[[#This Row],[Valor mensual base]]*(1+ManoObra[[#This Row],[Margen positivo]])</calculatedColumnFormula>
    </tableColumn>
    <tableColumn id="5" xr3:uid="{0656355F-6A06-44F0-9758-BFCFD580E566}" name="Valor Jornal" dataDxfId="19">
      <calculatedColumnFormula>ROUND((D13+E13)/$C$8*(1+F13),0)</calculatedColumnFormula>
    </tableColumn>
    <tableColumn id="6" xr3:uid="{9FB3C868-09E5-4C8F-A702-39387FE2E0A4}" name="Fuente" dataDxfId="18"/>
    <tableColumn id="7" xr3:uid="{79B00831-FE5E-4EDF-86E6-352435F5D95A}" name="Fecha" dataDxfId="17"/>
    <tableColumn id="10" xr3:uid="{360BB187-FBFC-4C40-B01F-0B8DE52B550E}" name="&gt;SMMLV" dataDxfId="16">
      <calculatedColumnFormula>+IF(ManoObra[[#This Row],[Valor mensual base]]&gt;=$C$5,"ok","&lt;SMMLV")</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interelectricas.com.co/puesta-a-tierra/812-molde-grounding-varilla-a-cable-en-t-5-8-a-4.html" TargetMode="External"/><Relationship Id="rId1" Type="http://schemas.openxmlformats.org/officeDocument/2006/relationships/hyperlink" Target="http://cachicamoweb.com/producto/alquiler-de-gps-garmin/" TargetMode="External"/><Relationship Id="rId4" Type="http://schemas.openxmlformats.org/officeDocument/2006/relationships/table" Target="../tables/table2.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computrabajo.com.co/salarios/contadora-publico" TargetMode="External"/><Relationship Id="rId13" Type="http://schemas.openxmlformats.org/officeDocument/2006/relationships/hyperlink" Target="https://www.computrabajo.com.co/salarios/trabajador-social" TargetMode="External"/><Relationship Id="rId18" Type="http://schemas.openxmlformats.org/officeDocument/2006/relationships/hyperlink" Target="https://www.salariominimocolombia.net/" TargetMode="External"/><Relationship Id="rId3" Type="http://schemas.openxmlformats.org/officeDocument/2006/relationships/hyperlink" Target="https://www.computrabajo.com.co/salarios/oficial-de-obra" TargetMode="External"/><Relationship Id="rId21" Type="http://schemas.openxmlformats.org/officeDocument/2006/relationships/table" Target="../tables/table4.xml"/><Relationship Id="rId7" Type="http://schemas.openxmlformats.org/officeDocument/2006/relationships/hyperlink" Target="https://www.computrabajo.com.co/salarios/gerente-general" TargetMode="External"/><Relationship Id="rId12" Type="http://schemas.openxmlformats.org/officeDocument/2006/relationships/hyperlink" Target="https://www.computrabajo.com.co/salarios/ingeniero-civil" TargetMode="External"/><Relationship Id="rId17" Type="http://schemas.openxmlformats.org/officeDocument/2006/relationships/hyperlink" Target="https://co.computrabajo.com/salarios/soldador" TargetMode="External"/><Relationship Id="rId2" Type="http://schemas.openxmlformats.org/officeDocument/2006/relationships/hyperlink" Target="https://www.computrabajo.com.co/salarios/topografoa" TargetMode="External"/><Relationship Id="rId16" Type="http://schemas.openxmlformats.org/officeDocument/2006/relationships/hyperlink" Target="https://www.computrabajo.com.co/salarios/ingeniero-especialista" TargetMode="External"/><Relationship Id="rId20" Type="http://schemas.openxmlformats.org/officeDocument/2006/relationships/printerSettings" Target="../printerSettings/printerSettings23.bin"/><Relationship Id="rId1" Type="http://schemas.openxmlformats.org/officeDocument/2006/relationships/hyperlink" Target="https://www.computrabajo.com.co/salarios/electricista" TargetMode="External"/><Relationship Id="rId6" Type="http://schemas.openxmlformats.org/officeDocument/2006/relationships/hyperlink" Target="https://www.computrabajo.com.co/salarios/ingeniero-electricista" TargetMode="External"/><Relationship Id="rId11" Type="http://schemas.openxmlformats.org/officeDocument/2006/relationships/hyperlink" Target="https://www.computrabajo.com.co/salarios/siso" TargetMode="External"/><Relationship Id="rId5" Type="http://schemas.openxmlformats.org/officeDocument/2006/relationships/hyperlink" Target="https://www.computrabajo.com.co/salarios/directora-de-proyectos" TargetMode="External"/><Relationship Id="rId15" Type="http://schemas.openxmlformats.org/officeDocument/2006/relationships/hyperlink" Target="https://www.computrabajo.com.co/salarios/directora-de-proyectos" TargetMode="External"/><Relationship Id="rId10" Type="http://schemas.openxmlformats.org/officeDocument/2006/relationships/hyperlink" Target="https://www.computrabajo.com.co/salarios/ingeniero-ambiental" TargetMode="External"/><Relationship Id="rId19" Type="http://schemas.openxmlformats.org/officeDocument/2006/relationships/hyperlink" Target="https://co.computrabajo.com/salarios/supervisora-de-obra" TargetMode="External"/><Relationship Id="rId4" Type="http://schemas.openxmlformats.org/officeDocument/2006/relationships/hyperlink" Target="https://www.computrabajo.com.co/salarios/ingenieroa-de-sistemas" TargetMode="External"/><Relationship Id="rId9" Type="http://schemas.openxmlformats.org/officeDocument/2006/relationships/hyperlink" Target="https://www.computrabajo.com.co/salarios/abogadoa" TargetMode="External"/><Relationship Id="rId14" Type="http://schemas.openxmlformats.org/officeDocument/2006/relationships/hyperlink" Target="https://www.computrabajo.com.co/salarios/seguridad-privada"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94FE-E06C-44E2-95C0-68DE759F3038}">
  <sheetPr>
    <pageSetUpPr fitToPage="1"/>
  </sheetPr>
  <dimension ref="B1:H29"/>
  <sheetViews>
    <sheetView view="pageBreakPreview" zoomScale="90" zoomScaleNormal="100" zoomScaleSheetLayoutView="90" workbookViewId="0">
      <selection activeCell="E17" sqref="E17"/>
    </sheetView>
  </sheetViews>
  <sheetFormatPr baseColWidth="10" defaultColWidth="11.453125" defaultRowHeight="12.5"/>
  <cols>
    <col min="1" max="1" width="3.453125" style="170" bestFit="1" customWidth="1"/>
    <col min="2" max="2" width="26.26953125" style="170" customWidth="1"/>
    <col min="3" max="3" width="9.81640625" style="170" customWidth="1"/>
    <col min="4" max="4" width="11.453125" style="170"/>
    <col min="5" max="5" width="12.26953125" style="170" customWidth="1"/>
    <col min="6" max="16384" width="11.453125" style="170"/>
  </cols>
  <sheetData>
    <row r="1" spans="2:8" ht="55.9" customHeight="1">
      <c r="B1" s="448" t="str">
        <f>+'PRES. SISFV'!A1</f>
        <v xml:space="preserve">IMPLEMENTACIÓN DE SOLUCIONES ENERGÉTICAS SOSTENIBLES CON FUENTES NO CONVENCIONALES, PARA LAS COMUNIDADES RURALES DEL MUNICIPIO DE PIVIJAY, DEPARTAMENTO MAGDALENA.                                                                                                                                                                                                                          </v>
      </c>
      <c r="C1" s="448"/>
      <c r="D1" s="448"/>
      <c r="E1" s="448"/>
      <c r="F1" s="448"/>
      <c r="G1" s="448"/>
      <c r="H1" s="448"/>
    </row>
    <row r="3" spans="2:8" ht="26">
      <c r="B3" s="449" t="s">
        <v>0</v>
      </c>
      <c r="C3" s="450"/>
      <c r="D3" s="310" t="s">
        <v>1</v>
      </c>
      <c r="E3" s="310" t="s">
        <v>2</v>
      </c>
      <c r="F3" s="309" t="s">
        <v>3</v>
      </c>
      <c r="G3" s="309" t="s">
        <v>4</v>
      </c>
      <c r="H3" s="309" t="s">
        <v>5</v>
      </c>
    </row>
    <row r="4" spans="2:8">
      <c r="B4" s="9" t="s">
        <v>6</v>
      </c>
      <c r="C4" s="18">
        <v>71</v>
      </c>
      <c r="D4" s="175">
        <v>3</v>
      </c>
      <c r="E4" s="175">
        <f t="shared" ref="E4:E10" si="0">+C4*D4</f>
        <v>213</v>
      </c>
      <c r="F4" s="451">
        <v>120</v>
      </c>
      <c r="G4" s="451">
        <v>50</v>
      </c>
      <c r="H4" s="451">
        <v>2000</v>
      </c>
    </row>
    <row r="5" spans="2:8">
      <c r="B5" s="9" t="s">
        <v>7</v>
      </c>
      <c r="C5" s="18">
        <v>11</v>
      </c>
      <c r="D5" s="175">
        <v>3</v>
      </c>
      <c r="E5" s="175">
        <f t="shared" si="0"/>
        <v>33</v>
      </c>
      <c r="F5" s="452"/>
      <c r="G5" s="452"/>
      <c r="H5" s="452"/>
    </row>
    <row r="6" spans="2:8">
      <c r="B6" s="9" t="s">
        <v>8</v>
      </c>
      <c r="C6" s="18">
        <v>43</v>
      </c>
      <c r="D6" s="175">
        <v>3</v>
      </c>
      <c r="E6" s="175">
        <f t="shared" si="0"/>
        <v>129</v>
      </c>
      <c r="F6" s="452"/>
      <c r="G6" s="452"/>
      <c r="H6" s="452"/>
    </row>
    <row r="7" spans="2:8">
      <c r="B7" s="9" t="s">
        <v>9</v>
      </c>
      <c r="C7" s="18">
        <v>10</v>
      </c>
      <c r="D7" s="175">
        <v>3</v>
      </c>
      <c r="E7" s="175">
        <f t="shared" si="0"/>
        <v>30</v>
      </c>
      <c r="F7" s="452"/>
      <c r="G7" s="452"/>
      <c r="H7" s="452"/>
    </row>
    <row r="8" spans="2:8">
      <c r="B8" s="9" t="s">
        <v>10</v>
      </c>
      <c r="C8" s="18">
        <v>19</v>
      </c>
      <c r="D8" s="175">
        <v>3</v>
      </c>
      <c r="E8" s="175">
        <f t="shared" si="0"/>
        <v>57</v>
      </c>
      <c r="F8" s="452"/>
      <c r="G8" s="452"/>
      <c r="H8" s="452"/>
    </row>
    <row r="9" spans="2:8">
      <c r="B9" s="9" t="s">
        <v>11</v>
      </c>
      <c r="C9" s="18">
        <v>17</v>
      </c>
      <c r="D9" s="175">
        <v>3</v>
      </c>
      <c r="E9" s="175">
        <f t="shared" si="0"/>
        <v>51</v>
      </c>
      <c r="F9" s="452"/>
      <c r="G9" s="452"/>
      <c r="H9" s="452"/>
    </row>
    <row r="10" spans="2:8">
      <c r="B10" s="9" t="s">
        <v>12</v>
      </c>
      <c r="C10" s="18">
        <v>14</v>
      </c>
      <c r="D10" s="175">
        <v>3</v>
      </c>
      <c r="E10" s="175">
        <f t="shared" si="0"/>
        <v>42</v>
      </c>
      <c r="F10" s="452"/>
      <c r="G10" s="452"/>
      <c r="H10" s="452"/>
    </row>
    <row r="11" spans="2:8">
      <c r="B11" s="9" t="s">
        <v>13</v>
      </c>
      <c r="C11" s="18">
        <v>35</v>
      </c>
      <c r="D11" s="175">
        <v>3</v>
      </c>
      <c r="E11" s="175">
        <f t="shared" ref="E11:E21" si="1">+C11*D11</f>
        <v>105</v>
      </c>
      <c r="F11" s="452"/>
      <c r="G11" s="452"/>
      <c r="H11" s="452"/>
    </row>
    <row r="12" spans="2:8">
      <c r="B12" s="9" t="s">
        <v>14</v>
      </c>
      <c r="C12" s="18">
        <v>44</v>
      </c>
      <c r="D12" s="175">
        <v>3</v>
      </c>
      <c r="E12" s="175">
        <f t="shared" si="1"/>
        <v>132</v>
      </c>
      <c r="F12" s="452"/>
      <c r="G12" s="452"/>
      <c r="H12" s="452"/>
    </row>
    <row r="13" spans="2:8">
      <c r="B13" s="9" t="s">
        <v>15</v>
      </c>
      <c r="C13" s="18">
        <v>67</v>
      </c>
      <c r="D13" s="175">
        <v>3</v>
      </c>
      <c r="E13" s="175">
        <f t="shared" si="1"/>
        <v>201</v>
      </c>
      <c r="F13" s="452"/>
      <c r="G13" s="452"/>
      <c r="H13" s="452"/>
    </row>
    <row r="14" spans="2:8">
      <c r="B14" s="9" t="s">
        <v>16</v>
      </c>
      <c r="C14" s="18">
        <v>6</v>
      </c>
      <c r="D14" s="175">
        <v>3</v>
      </c>
      <c r="E14" s="175">
        <f t="shared" si="1"/>
        <v>18</v>
      </c>
      <c r="F14" s="452"/>
      <c r="G14" s="452"/>
      <c r="H14" s="452"/>
    </row>
    <row r="15" spans="2:8">
      <c r="B15" s="9" t="s">
        <v>17</v>
      </c>
      <c r="C15" s="18">
        <v>2</v>
      </c>
      <c r="D15" s="175">
        <v>3</v>
      </c>
      <c r="E15" s="175">
        <f t="shared" si="1"/>
        <v>6</v>
      </c>
      <c r="F15" s="452"/>
      <c r="G15" s="452"/>
      <c r="H15" s="452"/>
    </row>
    <row r="16" spans="2:8">
      <c r="B16" s="9" t="s">
        <v>18</v>
      </c>
      <c r="C16" s="18">
        <v>2</v>
      </c>
      <c r="D16" s="175">
        <v>3</v>
      </c>
      <c r="E16" s="175">
        <f t="shared" si="1"/>
        <v>6</v>
      </c>
      <c r="F16" s="452"/>
      <c r="G16" s="452"/>
      <c r="H16" s="452"/>
    </row>
    <row r="17" spans="2:8">
      <c r="B17" s="9" t="s">
        <v>19</v>
      </c>
      <c r="C17" s="18">
        <v>9</v>
      </c>
      <c r="D17" s="175">
        <v>3</v>
      </c>
      <c r="E17" s="175">
        <f t="shared" si="1"/>
        <v>27</v>
      </c>
      <c r="F17" s="452"/>
      <c r="G17" s="452"/>
      <c r="H17" s="452"/>
    </row>
    <row r="18" spans="2:8">
      <c r="B18" s="9" t="s">
        <v>20</v>
      </c>
      <c r="C18" s="18">
        <v>1</v>
      </c>
      <c r="D18" s="175">
        <v>3</v>
      </c>
      <c r="E18" s="175">
        <f t="shared" si="1"/>
        <v>3</v>
      </c>
      <c r="F18" s="452"/>
      <c r="G18" s="452"/>
      <c r="H18" s="452"/>
    </row>
    <row r="19" spans="2:8">
      <c r="B19" s="9" t="s">
        <v>21</v>
      </c>
      <c r="C19" s="18">
        <v>5</v>
      </c>
      <c r="D19" s="175">
        <v>3</v>
      </c>
      <c r="E19" s="175">
        <f t="shared" si="1"/>
        <v>15</v>
      </c>
      <c r="F19" s="452"/>
      <c r="G19" s="452"/>
      <c r="H19" s="452"/>
    </row>
    <row r="20" spans="2:8">
      <c r="B20" s="9" t="s">
        <v>21</v>
      </c>
      <c r="C20" s="18">
        <v>6</v>
      </c>
      <c r="D20" s="175">
        <v>3</v>
      </c>
      <c r="E20" s="175">
        <f t="shared" si="1"/>
        <v>18</v>
      </c>
      <c r="F20" s="452"/>
      <c r="G20" s="452"/>
      <c r="H20" s="452"/>
    </row>
    <row r="21" spans="2:8">
      <c r="B21" s="9" t="s">
        <v>21</v>
      </c>
      <c r="C21" s="18">
        <v>6</v>
      </c>
      <c r="D21" s="175">
        <v>3</v>
      </c>
      <c r="E21" s="175">
        <f t="shared" si="1"/>
        <v>18</v>
      </c>
      <c r="F21" s="452"/>
      <c r="G21" s="452"/>
      <c r="H21" s="452"/>
    </row>
    <row r="22" spans="2:8" ht="13">
      <c r="B22" s="285" t="s">
        <v>22</v>
      </c>
      <c r="C22" s="286">
        <f>SUM(C4:C21)</f>
        <v>368</v>
      </c>
      <c r="E22" s="286">
        <f>SUM(E4:E21)</f>
        <v>1104</v>
      </c>
      <c r="F22" s="286">
        <f>+C22</f>
        <v>368</v>
      </c>
      <c r="G22" s="286">
        <f>+C22</f>
        <v>368</v>
      </c>
      <c r="H22" s="286">
        <f>+C22</f>
        <v>368</v>
      </c>
    </row>
    <row r="26" spans="2:8" ht="15.5">
      <c r="B26" s="287"/>
      <c r="C26"/>
      <c r="D26"/>
    </row>
    <row r="27" spans="2:8" ht="15.5">
      <c r="B27" s="287"/>
      <c r="C27"/>
      <c r="D27"/>
    </row>
    <row r="28" spans="2:8" ht="13">
      <c r="B28" s="357"/>
      <c r="C28" s="288"/>
      <c r="D28"/>
      <c r="E28"/>
      <c r="F28"/>
      <c r="G28"/>
    </row>
    <row r="29" spans="2:8" ht="13">
      <c r="B29" s="289"/>
      <c r="C29" s="288"/>
      <c r="D29"/>
      <c r="E29"/>
      <c r="F29"/>
      <c r="G29"/>
    </row>
  </sheetData>
  <mergeCells count="5">
    <mergeCell ref="B1:H1"/>
    <mergeCell ref="B3:C3"/>
    <mergeCell ref="F4:F21"/>
    <mergeCell ref="G4:G21"/>
    <mergeCell ref="H4:H21"/>
  </mergeCells>
  <pageMargins left="0.70866141732283472" right="0.70866141732283472" top="0.74803149606299213" bottom="0.74803149606299213" header="0.31496062992125984" footer="0.31496062992125984"/>
  <pageSetup scale="94"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27FF-ACFA-4B25-8B37-77DB2F7B18F2}">
  <sheetPr>
    <tabColor theme="4" tint="0.59999389629810485"/>
    <pageSetUpPr fitToPage="1"/>
  </sheetPr>
  <dimension ref="A1:G34"/>
  <sheetViews>
    <sheetView showGridLines="0" view="pageBreakPreview" topLeftCell="A19" zoomScale="80" zoomScaleNormal="120" zoomScaleSheetLayoutView="80" workbookViewId="0">
      <selection activeCell="L33" sqref="L33"/>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SISFV'!A10</f>
        <v>1.6</v>
      </c>
      <c r="D3" s="70"/>
      <c r="E3" s="70"/>
      <c r="F3" s="70"/>
      <c r="G3" s="71" t="s">
        <v>423</v>
      </c>
    </row>
    <row r="4" spans="1:7" ht="99.65" customHeight="1">
      <c r="B4" s="560" t="str">
        <f>+'PRES. SISFV'!B10</f>
        <v xml:space="preserve">Suministro e Instalación de batería de ión - litio tipo fosfato de hierro (LiFePO4) de ciclo profundo de 120 Ah – 51.2 VDC - ≥6000 ciclos hasta el 80% DOD, con BMS integrado </v>
      </c>
      <c r="C4" s="566"/>
      <c r="D4" s="566"/>
      <c r="E4" s="567"/>
      <c r="G4" s="72" t="str">
        <f>+'PRES. SISFV'!C10</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43.15" customHeight="1">
      <c r="A8" s="147">
        <v>26</v>
      </c>
      <c r="B8" s="107" t="str">
        <f>VLOOKUP(A8,Materiales3[],3,FALSE)</f>
        <v>Batería de LiFePO4 6.1 kWh - 48V - 120 Ah,6000 ciclos con DOD 80%, incluido BMS</v>
      </c>
      <c r="C8" s="79" t="str">
        <f>VLOOKUP(A8,Materiales3[],4,FALSE)</f>
        <v>UN</v>
      </c>
      <c r="D8" s="80">
        <v>1</v>
      </c>
      <c r="E8" s="79">
        <f>VLOOKUP(A8,Materiales3[],5,FALSE)*D8</f>
        <v>45</v>
      </c>
      <c r="F8" s="81">
        <f>VLOOKUP(A8,Materiales3[],6,FALSE)</f>
        <v>0</v>
      </c>
      <c r="G8" s="81">
        <f>D8*F8</f>
        <v>0</v>
      </c>
    </row>
    <row r="9" spans="1:7" ht="14.5">
      <c r="A9" s="147">
        <v>29</v>
      </c>
      <c r="B9" s="107" t="str">
        <f>VLOOKUP(A9,Materiales3[],3,FALSE)</f>
        <v>Terminales para batería. Par</v>
      </c>
      <c r="C9" s="79" t="str">
        <f>VLOOKUP(A9,Materiales3[],4,FALSE)</f>
        <v>JG</v>
      </c>
      <c r="D9" s="80">
        <v>1</v>
      </c>
      <c r="E9" s="79">
        <f>VLOOKUP(A9,Materiales3[],5,FALSE)*D9</f>
        <v>0.02</v>
      </c>
      <c r="F9" s="81">
        <f>VLOOKUP(A9,Materiales3[],6,FALSE)</f>
        <v>0</v>
      </c>
      <c r="G9" s="81">
        <f t="shared" ref="G9:G10" si="0">D9*F9</f>
        <v>0</v>
      </c>
    </row>
    <row r="10" spans="1:7" ht="14.5">
      <c r="A10" s="7">
        <v>241</v>
      </c>
      <c r="B10" s="107" t="str">
        <f>VLOOKUP(A10,Materiales3[],3,FALSE)&amp;" Verde"</f>
        <v>Cable Cu THHN 6 AWG Verde</v>
      </c>
      <c r="C10" s="79" t="str">
        <f>VLOOKUP(A10,Materiales3[],4,FALSE)</f>
        <v>ML</v>
      </c>
      <c r="D10" s="80">
        <v>1.05</v>
      </c>
      <c r="E10" s="79">
        <f>VLOOKUP(A10,Materiales3[],5,FALSE)*D10</f>
        <v>0.17640000000000003</v>
      </c>
      <c r="F10" s="81">
        <f>VLOOKUP(A10,Materiales3[],6,FALSE)</f>
        <v>0</v>
      </c>
      <c r="G10" s="81">
        <f t="shared" si="0"/>
        <v>0</v>
      </c>
    </row>
    <row r="11" spans="1:7" ht="13">
      <c r="D11" s="86"/>
      <c r="E11" s="86"/>
      <c r="F11" s="87" t="s">
        <v>425</v>
      </c>
      <c r="G11" s="88">
        <f>SUM(G8:G10)</f>
        <v>0</v>
      </c>
    </row>
    <row r="12" spans="1:7">
      <c r="G12" s="111"/>
    </row>
    <row r="13" spans="1:7" ht="13">
      <c r="B13" s="89" t="s">
        <v>426</v>
      </c>
      <c r="G13" s="112"/>
    </row>
    <row r="14" spans="1:7" ht="13">
      <c r="A14" s="146" t="s">
        <v>137</v>
      </c>
      <c r="B14" s="76" t="s">
        <v>28</v>
      </c>
      <c r="C14" s="77" t="s">
        <v>436</v>
      </c>
      <c r="D14" s="77" t="s">
        <v>427</v>
      </c>
      <c r="E14" s="77"/>
      <c r="F14" s="77" t="s">
        <v>30</v>
      </c>
      <c r="G14" s="77" t="s">
        <v>270</v>
      </c>
    </row>
    <row r="15" spans="1:7" ht="14.5">
      <c r="A15" s="147">
        <v>1</v>
      </c>
      <c r="B15" s="82" t="str">
        <f>VLOOKUP(A15,Equipoyherramienta[],2,FALSE)</f>
        <v>Herramienta menor</v>
      </c>
      <c r="C15" s="83" t="str">
        <f>VLOOKUP(A15,Equipoyherramienta[],3,FALSE)</f>
        <v>UN</v>
      </c>
      <c r="D15" s="90">
        <f>VLOOKUP(A15,Equipoyherramienta[],4,FALSE)</f>
        <v>0</v>
      </c>
      <c r="E15" s="90"/>
      <c r="F15" s="109">
        <f>+RENDIMIENTOS!C20</f>
        <v>4</v>
      </c>
      <c r="G15" s="90">
        <f>ROUND(D15/F15,0)</f>
        <v>0</v>
      </c>
    </row>
    <row r="16" spans="1:7">
      <c r="B16" s="82"/>
      <c r="C16" s="83"/>
      <c r="D16" s="85"/>
      <c r="E16" s="85"/>
      <c r="F16" s="91"/>
      <c r="G16" s="92"/>
    </row>
    <row r="17" spans="1:7">
      <c r="B17" s="82"/>
      <c r="C17" s="83"/>
      <c r="D17" s="85"/>
      <c r="E17" s="85"/>
      <c r="F17" s="91"/>
      <c r="G17" s="92"/>
    </row>
    <row r="18" spans="1:7" ht="13">
      <c r="D18" s="86"/>
      <c r="E18" s="86"/>
      <c r="F18" s="87" t="s">
        <v>425</v>
      </c>
      <c r="G18" s="88">
        <f>SUM(G15:G17)</f>
        <v>0</v>
      </c>
    </row>
    <row r="19" spans="1:7" ht="13">
      <c r="D19" s="86"/>
      <c r="E19" s="86"/>
      <c r="F19" s="86"/>
      <c r="G19" s="93"/>
    </row>
    <row r="20" spans="1:7" ht="13">
      <c r="B20" s="75" t="s">
        <v>428</v>
      </c>
      <c r="G20" s="94"/>
    </row>
    <row r="21" spans="1:7" ht="13">
      <c r="A21" s="146" t="s">
        <v>137</v>
      </c>
      <c r="B21" s="76" t="s">
        <v>28</v>
      </c>
      <c r="C21" s="77" t="s">
        <v>268</v>
      </c>
      <c r="D21" s="77" t="s">
        <v>352</v>
      </c>
      <c r="E21" s="77"/>
      <c r="F21" s="77" t="s">
        <v>437</v>
      </c>
      <c r="G21" s="95" t="s">
        <v>270</v>
      </c>
    </row>
    <row r="22" spans="1:7" ht="50">
      <c r="A22" s="147">
        <v>6</v>
      </c>
      <c r="B22" s="96" t="str">
        <f>VLOOKUP(A22,Transp.[],2,FALSE)</f>
        <v>Carga terrestre desde Barranquilla hasta Usuario, incluye cargues, descargues, cruces de río, transporte semoviente, transporte en vehículo de carga pesada y cualquier otro tranposte.</v>
      </c>
      <c r="C22" s="79" t="s">
        <v>438</v>
      </c>
      <c r="D22" s="80">
        <f>SUM(E8:E10)</f>
        <v>45.196400000000004</v>
      </c>
      <c r="E22" s="80"/>
      <c r="F22" s="97">
        <f>VLOOKUP(A22,Transp.[],6,FALSE)</f>
        <v>0</v>
      </c>
      <c r="G22" s="97">
        <f>D22*F22</f>
        <v>0</v>
      </c>
    </row>
    <row r="23" spans="1:7" ht="13.15" customHeight="1">
      <c r="A23" s="147"/>
      <c r="B23" s="96"/>
      <c r="C23" s="79"/>
      <c r="D23" s="80"/>
      <c r="E23" s="80"/>
      <c r="F23" s="97"/>
      <c r="G23" s="97"/>
    </row>
    <row r="24" spans="1:7" ht="13.15" customHeight="1">
      <c r="A24" s="147"/>
      <c r="B24" s="96"/>
      <c r="C24" s="79"/>
      <c r="D24" s="80"/>
      <c r="E24" s="80"/>
      <c r="F24" s="97"/>
      <c r="G24" s="97"/>
    </row>
    <row r="25" spans="1:7" ht="13">
      <c r="D25" s="86"/>
      <c r="E25" s="86"/>
      <c r="F25" s="99" t="s">
        <v>425</v>
      </c>
      <c r="G25" s="88">
        <f>SUM(G22:G24)</f>
        <v>0</v>
      </c>
    </row>
    <row r="27" spans="1:7" ht="13">
      <c r="B27" s="75" t="s">
        <v>432</v>
      </c>
      <c r="D27" s="100"/>
      <c r="E27" s="100"/>
      <c r="F27" s="101"/>
      <c r="G27" s="94"/>
    </row>
    <row r="28" spans="1:7" s="86" customFormat="1" ht="13">
      <c r="A28" s="146" t="s">
        <v>137</v>
      </c>
      <c r="B28" s="77" t="s">
        <v>28</v>
      </c>
      <c r="C28" s="77" t="s">
        <v>433</v>
      </c>
      <c r="D28" s="77" t="s">
        <v>434</v>
      </c>
      <c r="E28" s="77"/>
      <c r="F28" s="77" t="s">
        <v>30</v>
      </c>
      <c r="G28" s="95" t="s">
        <v>270</v>
      </c>
    </row>
    <row r="29" spans="1:7" ht="14.5">
      <c r="A29" s="147">
        <v>1</v>
      </c>
      <c r="B29" s="102" t="str">
        <f>VLOOKUP(A29,ManoObra[],2,FALSE)</f>
        <v>Electricista</v>
      </c>
      <c r="C29" s="103" t="e">
        <f>VLOOKUP(A29,ManoObra[],8,FALSE)</f>
        <v>#DIV/0!</v>
      </c>
      <c r="D29" s="91">
        <f>+FP!E27</f>
        <v>0</v>
      </c>
      <c r="E29" s="91"/>
      <c r="F29" s="109">
        <f>F15</f>
        <v>4</v>
      </c>
      <c r="G29" s="90" t="e">
        <f>ROUND(C29*D29/F29,0)</f>
        <v>#DIV/0!</v>
      </c>
    </row>
    <row r="30" spans="1:7" ht="14.5">
      <c r="A30" s="147">
        <v>2</v>
      </c>
      <c r="B30" s="102" t="str">
        <f>VLOOKUP(A30,ManoObra[],2,FALSE)</f>
        <v>Ayudante</v>
      </c>
      <c r="C30" s="103" t="e">
        <f>VLOOKUP(A30,ManoObra[],8,FALSE)</f>
        <v>#DIV/0!</v>
      </c>
      <c r="D30" s="91">
        <f>+FP!E27</f>
        <v>0</v>
      </c>
      <c r="E30" s="91"/>
      <c r="F30" s="109">
        <f>F15</f>
        <v>4</v>
      </c>
      <c r="G30" s="90" t="e">
        <f>ROUND(C30*D30/F30,0)</f>
        <v>#DIV/0!</v>
      </c>
    </row>
    <row r="31" spans="1:7" ht="14.5">
      <c r="A31" s="147"/>
      <c r="B31" s="108"/>
      <c r="C31" s="103"/>
      <c r="D31" s="91"/>
      <c r="E31" s="91"/>
      <c r="F31" s="84"/>
      <c r="G31" s="90"/>
    </row>
    <row r="32" spans="1:7" ht="13">
      <c r="D32" s="86"/>
      <c r="E32" s="86"/>
      <c r="F32" s="99" t="s">
        <v>425</v>
      </c>
      <c r="G32" s="113" t="e">
        <f>SUM(G29:G31)</f>
        <v>#DIV/0!</v>
      </c>
    </row>
    <row r="33" spans="2:7" ht="13">
      <c r="D33" s="86"/>
      <c r="E33" s="86"/>
      <c r="G33" s="94"/>
    </row>
    <row r="34" spans="2:7" ht="12.75" customHeight="1">
      <c r="B34" s="86"/>
      <c r="D34" s="563" t="s">
        <v>435</v>
      </c>
      <c r="E34" s="565"/>
      <c r="F34" s="564"/>
      <c r="G34" s="104"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B30F-62AD-4A92-8D5E-99B0C1BFE148}">
  <sheetPr>
    <tabColor theme="4" tint="0.59999389629810485"/>
    <pageSetUpPr fitToPage="1"/>
  </sheetPr>
  <dimension ref="A1:G34"/>
  <sheetViews>
    <sheetView showGridLines="0" view="pageBreakPreview" zoomScale="80" zoomScaleNormal="120" zoomScaleSheetLayoutView="80" workbookViewId="0">
      <selection activeCell="A2" sqref="A2:A35"/>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SISFV'!A11</f>
        <v>1.7</v>
      </c>
      <c r="D3" s="70"/>
      <c r="E3" s="70"/>
      <c r="F3" s="70"/>
      <c r="G3" s="71" t="s">
        <v>423</v>
      </c>
    </row>
    <row r="4" spans="1:7" ht="63" customHeight="1">
      <c r="B4" s="560" t="str">
        <f>+'PRES. SISFV'!B11</f>
        <v>Suministro e instalación de inversor tipo "off-grid" onda senoidal pura, potencia de 2000 W, 48 VDC entrada - 120 VAC salida, f=60 Hz, debe garantizar protección y desconexión por bajo voltaje en la batería, protección contra sobrecarga</v>
      </c>
      <c r="C4" s="566"/>
      <c r="D4" s="566"/>
      <c r="E4" s="567"/>
      <c r="G4" s="72" t="str">
        <f>+'PRES. SISFV'!C11</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43.15" customHeight="1">
      <c r="A8" s="147">
        <v>149</v>
      </c>
      <c r="B8" s="107" t="str">
        <f>VLOOKUP(A8,Materiales3[],3,FALSE)</f>
        <v>Inversor de onda senoidal pura 48 VDC / 120 VAC -  2000 VA, FP=1</v>
      </c>
      <c r="C8" s="79" t="str">
        <f>VLOOKUP(A8,Materiales3[],4,FALSE)</f>
        <v>UN</v>
      </c>
      <c r="D8" s="80">
        <v>1</v>
      </c>
      <c r="E8" s="79">
        <f>VLOOKUP(A8,Materiales3[],5,FALSE)*D8</f>
        <v>4.5999999999999996</v>
      </c>
      <c r="F8" s="81">
        <f>VLOOKUP(A8,Materiales3[],6,FALSE)</f>
        <v>0</v>
      </c>
      <c r="G8" s="81">
        <f>D8*F8</f>
        <v>0</v>
      </c>
    </row>
    <row r="9" spans="1:7" ht="14.5">
      <c r="A9" s="147">
        <v>24</v>
      </c>
      <c r="B9" s="107" t="str">
        <f>VLOOKUP(A9,Materiales3[],3,FALSE)</f>
        <v>Borna para ponchar varios calibres y terminales</v>
      </c>
      <c r="C9" s="79" t="str">
        <f>VLOOKUP(A9,Materiales3[],4,FALSE)</f>
        <v>UN</v>
      </c>
      <c r="D9" s="80">
        <v>2</v>
      </c>
      <c r="E9" s="79">
        <f>VLOOKUP(A9,Materiales3[],5,FALSE)*D9</f>
        <v>1.6E-2</v>
      </c>
      <c r="F9" s="81">
        <f>VLOOKUP(A9,Materiales3[],6,FALSE)</f>
        <v>0</v>
      </c>
      <c r="G9" s="81">
        <f>D9*F9</f>
        <v>0</v>
      </c>
    </row>
    <row r="10" spans="1:7" ht="14.5">
      <c r="A10" s="7">
        <v>246</v>
      </c>
      <c r="B10" s="107" t="str">
        <f>VLOOKUP(A10,Materiales3[],3,FALSE)&amp;" Verde"</f>
        <v>Cable Cu THHN 8 AWG Verde</v>
      </c>
      <c r="C10" s="79" t="str">
        <f>VLOOKUP(A10,Materiales3[],4,FALSE)</f>
        <v>ML</v>
      </c>
      <c r="D10" s="80">
        <v>1.05</v>
      </c>
      <c r="E10" s="79">
        <f>VLOOKUP(A10,Materiales3[],5,FALSE)*D10</f>
        <v>0.1008</v>
      </c>
      <c r="F10" s="81">
        <f>VLOOKUP(A10,Materiales3[],6,FALSE)</f>
        <v>0</v>
      </c>
      <c r="G10" s="81">
        <f>D10*F10</f>
        <v>0</v>
      </c>
    </row>
    <row r="11" spans="1:7" ht="13">
      <c r="D11" s="86"/>
      <c r="E11" s="86"/>
      <c r="F11" s="87" t="s">
        <v>425</v>
      </c>
      <c r="G11" s="88">
        <f>SUM(G8:G10)</f>
        <v>0</v>
      </c>
    </row>
    <row r="12" spans="1:7">
      <c r="G12" s="111"/>
    </row>
    <row r="13" spans="1:7" ht="13">
      <c r="B13" s="89" t="s">
        <v>426</v>
      </c>
      <c r="G13" s="112"/>
    </row>
    <row r="14" spans="1:7" ht="13">
      <c r="A14" s="146" t="s">
        <v>137</v>
      </c>
      <c r="B14" s="76" t="s">
        <v>28</v>
      </c>
      <c r="C14" s="77" t="s">
        <v>436</v>
      </c>
      <c r="D14" s="77" t="s">
        <v>427</v>
      </c>
      <c r="E14" s="77"/>
      <c r="F14" s="77" t="s">
        <v>30</v>
      </c>
      <c r="G14" s="77" t="s">
        <v>270</v>
      </c>
    </row>
    <row r="15" spans="1:7" ht="14.5">
      <c r="A15" s="147">
        <v>1</v>
      </c>
      <c r="B15" s="82" t="str">
        <f>VLOOKUP(A15,Equipoyherramienta[],2,FALSE)</f>
        <v>Herramienta menor</v>
      </c>
      <c r="C15" s="83" t="str">
        <f>VLOOKUP(A15,Equipoyherramienta[],3,FALSE)</f>
        <v>UN</v>
      </c>
      <c r="D15" s="90">
        <f>VLOOKUP(A15,Equipoyherramienta[],4,FALSE)</f>
        <v>0</v>
      </c>
      <c r="E15" s="90"/>
      <c r="F15" s="109">
        <f>+RENDIMIENTOS!C19</f>
        <v>3</v>
      </c>
      <c r="G15" s="90">
        <f>ROUND(D15/F15,0)</f>
        <v>0</v>
      </c>
    </row>
    <row r="16" spans="1:7">
      <c r="B16" s="82"/>
      <c r="C16" s="83"/>
      <c r="D16" s="85"/>
      <c r="E16" s="85"/>
      <c r="F16" s="91"/>
      <c r="G16" s="92"/>
    </row>
    <row r="17" spans="1:7">
      <c r="B17" s="82"/>
      <c r="C17" s="83"/>
      <c r="D17" s="85"/>
      <c r="E17" s="85"/>
      <c r="F17" s="91"/>
      <c r="G17" s="92"/>
    </row>
    <row r="18" spans="1:7" ht="13">
      <c r="D18" s="86"/>
      <c r="E18" s="86"/>
      <c r="F18" s="87" t="s">
        <v>425</v>
      </c>
      <c r="G18" s="88">
        <f>SUM(G15:G17)</f>
        <v>0</v>
      </c>
    </row>
    <row r="19" spans="1:7" ht="13">
      <c r="D19" s="86"/>
      <c r="E19" s="86"/>
      <c r="F19" s="86"/>
      <c r="G19" s="93"/>
    </row>
    <row r="20" spans="1:7" ht="13">
      <c r="B20" s="75" t="s">
        <v>428</v>
      </c>
      <c r="G20" s="94"/>
    </row>
    <row r="21" spans="1:7" ht="13">
      <c r="A21" s="146" t="s">
        <v>137</v>
      </c>
      <c r="B21" s="76" t="s">
        <v>28</v>
      </c>
      <c r="C21" s="77" t="s">
        <v>268</v>
      </c>
      <c r="D21" s="77" t="s">
        <v>352</v>
      </c>
      <c r="E21" s="77"/>
      <c r="F21" s="77" t="s">
        <v>437</v>
      </c>
      <c r="G21" s="95" t="s">
        <v>270</v>
      </c>
    </row>
    <row r="22" spans="1:7" ht="50">
      <c r="A22" s="147">
        <v>6</v>
      </c>
      <c r="B22" s="96" t="str">
        <f>VLOOKUP(A22,Transp.[],2,FALSE)</f>
        <v>Carga terrestre desde Barranquilla hasta Usuario, incluye cargues, descargues, cruces de río, transporte semoviente, transporte en vehículo de carga pesada y cualquier otro tranposte.</v>
      </c>
      <c r="C22" s="79" t="s">
        <v>438</v>
      </c>
      <c r="D22" s="80">
        <f>SUM(E8:E10)</f>
        <v>4.7167999999999992</v>
      </c>
      <c r="E22" s="80"/>
      <c r="F22" s="97">
        <f>VLOOKUP(A22,Transp.[],6,FALSE)</f>
        <v>0</v>
      </c>
      <c r="G22" s="97">
        <f>D22*F22</f>
        <v>0</v>
      </c>
    </row>
    <row r="23" spans="1:7" ht="13.15" customHeight="1">
      <c r="A23" s="147"/>
      <c r="B23" s="96"/>
      <c r="C23" s="79"/>
      <c r="D23" s="80"/>
      <c r="E23" s="80"/>
      <c r="F23" s="97"/>
      <c r="G23" s="97"/>
    </row>
    <row r="24" spans="1:7" ht="13.15" customHeight="1">
      <c r="A24" s="147"/>
      <c r="B24" s="96"/>
      <c r="C24" s="79"/>
      <c r="D24" s="80"/>
      <c r="E24" s="80"/>
      <c r="F24" s="97"/>
      <c r="G24" s="97"/>
    </row>
    <row r="25" spans="1:7" ht="13">
      <c r="D25" s="86"/>
      <c r="E25" s="86"/>
      <c r="F25" s="99" t="s">
        <v>425</v>
      </c>
      <c r="G25" s="88">
        <f>SUM(G22:G24)</f>
        <v>0</v>
      </c>
    </row>
    <row r="27" spans="1:7" ht="13">
      <c r="B27" s="75" t="s">
        <v>432</v>
      </c>
      <c r="D27" s="100"/>
      <c r="E27" s="100"/>
      <c r="F27" s="101"/>
      <c r="G27" s="94"/>
    </row>
    <row r="28" spans="1:7" s="86" customFormat="1" ht="13">
      <c r="A28" s="146" t="s">
        <v>137</v>
      </c>
      <c r="B28" s="77" t="s">
        <v>28</v>
      </c>
      <c r="C28" s="77" t="s">
        <v>433</v>
      </c>
      <c r="D28" s="77" t="s">
        <v>434</v>
      </c>
      <c r="E28" s="77"/>
      <c r="F28" s="77" t="s">
        <v>30</v>
      </c>
      <c r="G28" s="95" t="s">
        <v>270</v>
      </c>
    </row>
    <row r="29" spans="1:7" ht="14.5">
      <c r="A29" s="147">
        <v>1</v>
      </c>
      <c r="B29" s="102" t="str">
        <f>VLOOKUP(A29,ManoObra[],2,FALSE)</f>
        <v>Electricista</v>
      </c>
      <c r="C29" s="103" t="e">
        <f>VLOOKUP(A29,ManoObra[],8,FALSE)</f>
        <v>#DIV/0!</v>
      </c>
      <c r="D29" s="91">
        <f>+FP!E27</f>
        <v>0</v>
      </c>
      <c r="E29" s="91"/>
      <c r="F29" s="109">
        <f>F15</f>
        <v>3</v>
      </c>
      <c r="G29" s="90" t="e">
        <f>ROUND(C29*D29/F29,0)</f>
        <v>#DIV/0!</v>
      </c>
    </row>
    <row r="30" spans="1:7" ht="14.5">
      <c r="A30" s="147">
        <v>2</v>
      </c>
      <c r="B30" s="102" t="str">
        <f>VLOOKUP(A30,ManoObra[],2,FALSE)</f>
        <v>Ayudante</v>
      </c>
      <c r="C30" s="103" t="e">
        <f>VLOOKUP(A30,ManoObra[],8,FALSE)</f>
        <v>#DIV/0!</v>
      </c>
      <c r="D30" s="91">
        <f>+FP!E27</f>
        <v>0</v>
      </c>
      <c r="E30" s="91"/>
      <c r="F30" s="109">
        <f>F15</f>
        <v>3</v>
      </c>
      <c r="G30" s="90" t="e">
        <f>ROUND(C30*D30/F30,0)</f>
        <v>#DIV/0!</v>
      </c>
    </row>
    <row r="31" spans="1:7" ht="14.5">
      <c r="A31" s="147"/>
      <c r="B31" s="108"/>
      <c r="C31" s="103"/>
      <c r="D31" s="91"/>
      <c r="E31" s="91"/>
      <c r="F31" s="84"/>
      <c r="G31" s="90"/>
    </row>
    <row r="32" spans="1:7" ht="13">
      <c r="D32" s="86"/>
      <c r="E32" s="86"/>
      <c r="F32" s="99" t="s">
        <v>425</v>
      </c>
      <c r="G32" s="113" t="e">
        <f>SUM(G29:G31)</f>
        <v>#DIV/0!</v>
      </c>
    </row>
    <row r="33" spans="2:7" ht="13">
      <c r="D33" s="86"/>
      <c r="E33" s="86"/>
      <c r="G33" s="94"/>
    </row>
    <row r="34" spans="2:7" ht="12.75" customHeight="1">
      <c r="B34" s="86"/>
      <c r="D34" s="563" t="s">
        <v>435</v>
      </c>
      <c r="E34" s="565"/>
      <c r="F34" s="564"/>
      <c r="G34" s="104"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BC9-7EB2-4D19-8909-F179F7A6BF18}">
  <sheetPr>
    <tabColor theme="4" tint="0.59999389629810485"/>
    <pageSetUpPr fitToPage="1"/>
  </sheetPr>
  <dimension ref="A1:G37"/>
  <sheetViews>
    <sheetView showGridLines="0" view="pageBreakPreview" zoomScale="80" zoomScaleNormal="120" zoomScaleSheetLayoutView="80" workbookViewId="0">
      <selection activeCell="A2" sqref="A2:A37"/>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SISFV'!A12</f>
        <v>1.8</v>
      </c>
      <c r="D3" s="70"/>
      <c r="E3" s="70"/>
      <c r="F3" s="70"/>
      <c r="G3" s="71" t="s">
        <v>423</v>
      </c>
    </row>
    <row r="4" spans="1:7" ht="61.9" customHeight="1">
      <c r="B4" s="568" t="str">
        <f>+'PRES. SISFV'!B12</f>
        <v>Sistema de puesta a tierra con una varilla de cobre 5/8" x 2,4m, bajante en cable de cobre desnudo temple duro o verde Nº 6, con soldadura exotérmica y tratamiento de suelos, caja de inspección de 30 x 30 cm.</v>
      </c>
      <c r="C4" s="569"/>
      <c r="D4" s="569"/>
      <c r="E4" s="570"/>
      <c r="G4" s="72" t="str">
        <f>+'PRES. SISFV'!C12</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147">
        <v>68</v>
      </c>
      <c r="B8" s="107" t="str">
        <f>VLOOKUP(A8,Materiales3[],3,FALSE)</f>
        <v>Varilla de cobre 5/8 x 2.4 m</v>
      </c>
      <c r="C8" s="79" t="str">
        <f>VLOOKUP(A8,Materiales3[],4,FALSE)</f>
        <v>UN</v>
      </c>
      <c r="D8" s="79">
        <v>1</v>
      </c>
      <c r="E8" s="79">
        <f>VLOOKUP(A8,Materiales3[],5,FALSE)*D8</f>
        <v>3.07</v>
      </c>
      <c r="F8" s="81">
        <f>VLOOKUP(A8,Materiales3[],6,FALSE)</f>
        <v>0</v>
      </c>
      <c r="G8" s="81">
        <f>D8*F8</f>
        <v>0</v>
      </c>
    </row>
    <row r="9" spans="1:7" ht="14.5">
      <c r="A9" s="147">
        <v>72</v>
      </c>
      <c r="B9" s="107" t="str">
        <f>VLOOKUP(A9,Materiales3[],3,FALSE)</f>
        <v>Caja de inspección 30x30 cm con tapa</v>
      </c>
      <c r="C9" s="79" t="str">
        <f>VLOOKUP(A9,Materiales3[],4,FALSE)</f>
        <v>UN</v>
      </c>
      <c r="D9" s="79">
        <v>1</v>
      </c>
      <c r="E9" s="79">
        <f>VLOOKUP(A9,Materiales3[],5,FALSE)*D9</f>
        <v>4</v>
      </c>
      <c r="F9" s="81">
        <f>VLOOKUP(A9,Materiales3[],6,FALSE)</f>
        <v>0</v>
      </c>
      <c r="G9" s="81">
        <f t="shared" ref="G9:G13" si="0">D9*F9</f>
        <v>0</v>
      </c>
    </row>
    <row r="10" spans="1:7" ht="14.5">
      <c r="A10" s="147">
        <v>24</v>
      </c>
      <c r="B10" s="107" t="str">
        <f>VLOOKUP(A10,Materiales3[],3,FALSE)</f>
        <v>Borna para ponchar varios calibres y terminales</v>
      </c>
      <c r="C10" s="79" t="str">
        <f>VLOOKUP(A10,Materiales3[],4,FALSE)</f>
        <v>UN</v>
      </c>
      <c r="D10" s="79">
        <v>2</v>
      </c>
      <c r="E10" s="79">
        <f>VLOOKUP(A10,Materiales3[],5,FALSE)*D10</f>
        <v>1.6E-2</v>
      </c>
      <c r="F10" s="81">
        <f>VLOOKUP(A10,Materiales3[],6,FALSE)</f>
        <v>0</v>
      </c>
      <c r="G10" s="81">
        <f t="shared" si="0"/>
        <v>0</v>
      </c>
    </row>
    <row r="11" spans="1:7" ht="14.5">
      <c r="A11" s="147">
        <v>69</v>
      </c>
      <c r="B11" s="107" t="str">
        <f>VLOOKUP(A11,Materiales3[],3,FALSE)</f>
        <v>Soldadura exotermina 90 gr</v>
      </c>
      <c r="C11" s="79" t="str">
        <f>VLOOKUP(A11,Materiales3[],4,FALSE)</f>
        <v>UN</v>
      </c>
      <c r="D11" s="79">
        <v>2</v>
      </c>
      <c r="E11" s="79">
        <f>VLOOKUP(A11,Materiales3[],5,FALSE)*D11</f>
        <v>0.18</v>
      </c>
      <c r="F11" s="81">
        <f>VLOOKUP(A11,Materiales3[],6,FALSE)</f>
        <v>0</v>
      </c>
      <c r="G11" s="81">
        <f t="shared" si="0"/>
        <v>0</v>
      </c>
    </row>
    <row r="12" spans="1:7" ht="14.5">
      <c r="A12" s="147">
        <v>212</v>
      </c>
      <c r="B12" s="107" t="str">
        <f>VLOOKUP(A12,Materiales3[],3,FALSE)</f>
        <v>Cable de Cobre Desnudo. 6 AWG</v>
      </c>
      <c r="C12" s="79" t="str">
        <f>VLOOKUP(A12,Materiales3[],4,FALSE)</f>
        <v>ML</v>
      </c>
      <c r="D12" s="79">
        <f>3+1</f>
        <v>4</v>
      </c>
      <c r="E12" s="79">
        <f>VLOOKUP(A12,Materiales3[],5,FALSE)*D12</f>
        <v>0.48</v>
      </c>
      <c r="F12" s="81">
        <f>VLOOKUP(A12,Materiales3[],6,FALSE)</f>
        <v>0</v>
      </c>
      <c r="G12" s="81">
        <f t="shared" si="0"/>
        <v>0</v>
      </c>
    </row>
    <row r="13" spans="1:7" ht="14.5">
      <c r="A13" s="147">
        <v>245</v>
      </c>
      <c r="B13" s="107" t="str">
        <f>VLOOKUP(A13,Materiales3[],3,FALSE)</f>
        <v>Bentonita mejorada</v>
      </c>
      <c r="C13" s="79" t="str">
        <f>VLOOKUP(A13,Materiales3[],4,FALSE)</f>
        <v>BULTO</v>
      </c>
      <c r="D13" s="79">
        <v>0.5</v>
      </c>
      <c r="E13" s="79">
        <f>VLOOKUP(A13,Materiales3[],5,FALSE)*D13</f>
        <v>25</v>
      </c>
      <c r="F13" s="81">
        <f>VLOOKUP(A13,Materiales3[],6,FALSE)</f>
        <v>0</v>
      </c>
      <c r="G13" s="81">
        <f t="shared" si="0"/>
        <v>0</v>
      </c>
    </row>
    <row r="14" spans="1:7" ht="13">
      <c r="D14" s="86"/>
      <c r="E14" s="86"/>
      <c r="F14" s="87" t="s">
        <v>425</v>
      </c>
      <c r="G14" s="88">
        <f>SUM(G8:G13)</f>
        <v>0</v>
      </c>
    </row>
    <row r="15" spans="1:7">
      <c r="G15" s="111"/>
    </row>
    <row r="16" spans="1:7" ht="13">
      <c r="B16" s="89" t="s">
        <v>426</v>
      </c>
      <c r="G16" s="112"/>
    </row>
    <row r="17" spans="1:7" ht="13">
      <c r="A17" s="146" t="s">
        <v>137</v>
      </c>
      <c r="B17" s="76" t="s">
        <v>28</v>
      </c>
      <c r="C17" s="77" t="s">
        <v>436</v>
      </c>
      <c r="D17" s="77" t="s">
        <v>427</v>
      </c>
      <c r="E17" s="77"/>
      <c r="F17" s="77" t="s">
        <v>30</v>
      </c>
      <c r="G17" s="77" t="s">
        <v>270</v>
      </c>
    </row>
    <row r="18" spans="1:7" ht="14.5">
      <c r="A18" s="147">
        <v>1</v>
      </c>
      <c r="B18" s="82" t="str">
        <f>VLOOKUP(A18,Equipoyherramienta[],2,FALSE)</f>
        <v>Herramienta menor</v>
      </c>
      <c r="C18" s="83" t="str">
        <f>VLOOKUP(A18,Equipoyherramienta[],3,FALSE)</f>
        <v>UN</v>
      </c>
      <c r="D18" s="90">
        <f>VLOOKUP(A18,Equipoyherramienta[],4,FALSE)</f>
        <v>0</v>
      </c>
      <c r="E18" s="90"/>
      <c r="F18" s="109">
        <f>+RENDIMIENTOS!C45</f>
        <v>2</v>
      </c>
      <c r="G18" s="90">
        <f>ROUND(D18/F18,0)</f>
        <v>0</v>
      </c>
    </row>
    <row r="19" spans="1:7">
      <c r="B19" s="82"/>
      <c r="C19" s="83"/>
      <c r="D19" s="85"/>
      <c r="E19" s="85"/>
      <c r="F19" s="91"/>
      <c r="G19" s="92"/>
    </row>
    <row r="20" spans="1:7">
      <c r="B20" s="82"/>
      <c r="C20" s="83"/>
      <c r="D20" s="85"/>
      <c r="E20" s="85"/>
      <c r="F20" s="91"/>
      <c r="G20" s="92"/>
    </row>
    <row r="21" spans="1:7" ht="13">
      <c r="D21" s="86"/>
      <c r="E21" s="86"/>
      <c r="F21" s="87" t="s">
        <v>425</v>
      </c>
      <c r="G21" s="88">
        <f>SUM(G18:G20)</f>
        <v>0</v>
      </c>
    </row>
    <row r="22" spans="1:7" ht="13">
      <c r="D22" s="86"/>
      <c r="E22" s="86"/>
      <c r="F22" s="86"/>
      <c r="G22" s="93"/>
    </row>
    <row r="23" spans="1:7" ht="13">
      <c r="B23" s="75" t="s">
        <v>428</v>
      </c>
      <c r="G23" s="94"/>
    </row>
    <row r="24" spans="1:7" ht="13">
      <c r="A24" s="146" t="s">
        <v>137</v>
      </c>
      <c r="B24" s="76" t="s">
        <v>28</v>
      </c>
      <c r="C24" s="77" t="s">
        <v>268</v>
      </c>
      <c r="D24" s="77" t="s">
        <v>352</v>
      </c>
      <c r="E24" s="77"/>
      <c r="F24" s="77" t="s">
        <v>437</v>
      </c>
      <c r="G24" s="95" t="s">
        <v>270</v>
      </c>
    </row>
    <row r="25" spans="1:7" ht="50">
      <c r="A25" s="147">
        <v>6</v>
      </c>
      <c r="B25" s="96" t="str">
        <f>VLOOKUP(A25,Transp.[],2,FALSE)</f>
        <v>Carga terrestre desde Barranquilla hasta Usuario, incluye cargues, descargues, cruces de río, transporte semoviente, transporte en vehículo de carga pesada y cualquier otro tranposte.</v>
      </c>
      <c r="C25" s="79" t="s">
        <v>438</v>
      </c>
      <c r="D25" s="80">
        <f>SUM(E8:E13)</f>
        <v>32.746000000000002</v>
      </c>
      <c r="E25" s="80"/>
      <c r="F25" s="97">
        <f>VLOOKUP(A25,Transp.[],6,FALSE)</f>
        <v>0</v>
      </c>
      <c r="G25" s="97">
        <f>D25*F25</f>
        <v>0</v>
      </c>
    </row>
    <row r="26" spans="1:7" ht="13.15" customHeight="1">
      <c r="A26" s="147"/>
      <c r="B26" s="96"/>
      <c r="C26" s="79"/>
      <c r="D26" s="80"/>
      <c r="E26" s="80"/>
      <c r="F26" s="97"/>
      <c r="G26" s="97"/>
    </row>
    <row r="27" spans="1:7" ht="13.15" customHeight="1">
      <c r="A27" s="147"/>
      <c r="B27" s="96"/>
      <c r="C27" s="79"/>
      <c r="D27" s="80"/>
      <c r="E27" s="80"/>
      <c r="F27" s="97"/>
      <c r="G27" s="97"/>
    </row>
    <row r="28" spans="1:7" ht="13">
      <c r="D28" s="86"/>
      <c r="E28" s="86"/>
      <c r="F28" s="99" t="s">
        <v>425</v>
      </c>
      <c r="G28" s="88">
        <f>SUM(G25:G27)</f>
        <v>0</v>
      </c>
    </row>
    <row r="30" spans="1:7" ht="13">
      <c r="B30" s="75" t="s">
        <v>432</v>
      </c>
      <c r="D30" s="100"/>
      <c r="E30" s="100"/>
      <c r="F30" s="101"/>
      <c r="G30" s="94"/>
    </row>
    <row r="31" spans="1:7" s="86" customFormat="1" ht="13">
      <c r="A31" s="146" t="s">
        <v>137</v>
      </c>
      <c r="B31" s="77" t="s">
        <v>28</v>
      </c>
      <c r="C31" s="77" t="s">
        <v>433</v>
      </c>
      <c r="D31" s="77" t="s">
        <v>434</v>
      </c>
      <c r="E31" s="77"/>
      <c r="F31" s="77" t="s">
        <v>30</v>
      </c>
      <c r="G31" s="95" t="s">
        <v>270</v>
      </c>
    </row>
    <row r="32" spans="1:7" ht="14.5">
      <c r="A32" s="147">
        <v>1</v>
      </c>
      <c r="B32" s="102" t="str">
        <f>VLOOKUP(A32,ManoObra[],2,FALSE)</f>
        <v>Electricista</v>
      </c>
      <c r="C32" s="103" t="e">
        <f>VLOOKUP(A32,ManoObra[],8,FALSE)</f>
        <v>#DIV/0!</v>
      </c>
      <c r="D32" s="91">
        <f>+FP!E27</f>
        <v>0</v>
      </c>
      <c r="E32" s="91"/>
      <c r="F32" s="109">
        <f>F18</f>
        <v>2</v>
      </c>
      <c r="G32" s="90" t="e">
        <f>ROUND(C32*D32/F32,0)</f>
        <v>#DIV/0!</v>
      </c>
    </row>
    <row r="33" spans="1:7" ht="14.5">
      <c r="A33" s="147">
        <v>2</v>
      </c>
      <c r="B33" s="102" t="str">
        <f>VLOOKUP(A33,ManoObra[],2,FALSE)</f>
        <v>Ayudante</v>
      </c>
      <c r="C33" s="103" t="e">
        <f>VLOOKUP(A33,ManoObra[],8,FALSE)</f>
        <v>#DIV/0!</v>
      </c>
      <c r="D33" s="91">
        <f>+FP!E27</f>
        <v>0</v>
      </c>
      <c r="E33" s="91"/>
      <c r="F33" s="109">
        <f>F18</f>
        <v>2</v>
      </c>
      <c r="G33" s="90" t="e">
        <f>ROUND(C33*D33/F33,0)</f>
        <v>#DIV/0!</v>
      </c>
    </row>
    <row r="34" spans="1:7" ht="14.5">
      <c r="A34" s="147"/>
      <c r="B34" s="108"/>
      <c r="C34" s="103"/>
      <c r="D34" s="91"/>
      <c r="E34" s="91"/>
      <c r="F34" s="84"/>
      <c r="G34" s="90"/>
    </row>
    <row r="35" spans="1:7" ht="13">
      <c r="D35" s="86"/>
      <c r="E35" s="86"/>
      <c r="F35" s="99" t="s">
        <v>425</v>
      </c>
      <c r="G35" s="113" t="e">
        <f>SUM(G32:G34)</f>
        <v>#DIV/0!</v>
      </c>
    </row>
    <row r="36" spans="1:7" ht="13">
      <c r="D36" s="86"/>
      <c r="E36" s="86"/>
      <c r="G36" s="94"/>
    </row>
    <row r="37" spans="1:7" ht="12.75" customHeight="1">
      <c r="B37" s="86"/>
      <c r="D37" s="563" t="s">
        <v>435</v>
      </c>
      <c r="E37" s="565"/>
      <c r="F37" s="564"/>
      <c r="G37" s="104" t="e">
        <f>G14+G21+G28+G35</f>
        <v>#DIV/0!</v>
      </c>
    </row>
  </sheetData>
  <mergeCells count="3">
    <mergeCell ref="B1:G1"/>
    <mergeCell ref="B4:E4"/>
    <mergeCell ref="D37:F37"/>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8A30-257B-4A80-ADDF-E275FA26920D}">
  <sheetPr>
    <tabColor theme="4" tint="0.59999389629810485"/>
    <pageSetUpPr fitToPage="1"/>
  </sheetPr>
  <dimension ref="A1:Q63"/>
  <sheetViews>
    <sheetView showGridLines="0" view="pageBreakPreview" zoomScale="80" zoomScaleNormal="120" zoomScaleSheetLayoutView="80" workbookViewId="0">
      <selection activeCell="A3" sqref="A3:A63"/>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1" width="11.453125" style="68"/>
    <col min="12" max="12" width="26.81640625" style="68" customWidth="1"/>
    <col min="13"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SISFV'!A14</f>
        <v>2.1</v>
      </c>
      <c r="D3" s="70"/>
      <c r="E3" s="70"/>
      <c r="F3" s="70"/>
      <c r="G3" s="71" t="s">
        <v>423</v>
      </c>
    </row>
    <row r="4" spans="1:7" ht="61.9" customHeight="1">
      <c r="B4" s="568" t="str">
        <f>+'PRES. SISFV'!B14</f>
        <v>Suministro e instalación de poste reforzado en fibra de vidrio de h=4m, 510kgf. contiene: tapa en la cima y base, soporte metálico galvanizado fijo para 3 paneles solares y cimentación en concreto según planos (incluye excavación).</v>
      </c>
      <c r="C4" s="569"/>
      <c r="D4" s="569"/>
      <c r="E4" s="570"/>
      <c r="G4" s="72" t="str">
        <f>+'PRES. SISFV'!C14</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326"/>
      <c r="B8" s="327" t="s">
        <v>439</v>
      </c>
      <c r="C8" s="79"/>
      <c r="D8" s="79"/>
      <c r="E8" s="79"/>
      <c r="F8" s="81"/>
      <c r="G8" s="81"/>
    </row>
    <row r="9" spans="1:7" ht="25">
      <c r="A9" s="147">
        <v>91</v>
      </c>
      <c r="B9" s="107" t="str">
        <f>VLOOKUP(A9,Materiales3[],3,FALSE)</f>
        <v>Agregado fino para concreto (tamaño máximo 4,75mm - arena natural o trituración de roca, gravas, y/o escorias)</v>
      </c>
      <c r="C9" s="79" t="str">
        <f>VLOOKUP(A9,Materiales3[],4,FALSE)</f>
        <v>m3</v>
      </c>
      <c r="D9" s="79">
        <f>+'Memoria Civil'!C38</f>
        <v>0.25760000000000005</v>
      </c>
      <c r="E9" s="79">
        <f>VLOOKUP(A9,Materiales3[],5,FALSE)*D9</f>
        <v>412.16000000000008</v>
      </c>
      <c r="F9" s="81">
        <f>VLOOKUP(A9,Materiales3[],6,FALSE)</f>
        <v>0</v>
      </c>
      <c r="G9" s="81">
        <f t="shared" ref="G9:G13" si="0">D9*F9</f>
        <v>0</v>
      </c>
    </row>
    <row r="10" spans="1:7" ht="25">
      <c r="A10" s="147">
        <v>90</v>
      </c>
      <c r="B10" s="107" t="str">
        <f>VLOOKUP(A10,Materiales3[],3,FALSE)</f>
        <v>Agregado grueso (grava, grava triturada y/o roca triturada)</v>
      </c>
      <c r="C10" s="79" t="str">
        <f>VLOOKUP(A10,Materiales3[],4,FALSE)</f>
        <v>m3</v>
      </c>
      <c r="D10" s="79">
        <f>+'Memoria Civil'!C39</f>
        <v>0.38640000000000002</v>
      </c>
      <c r="E10" s="79">
        <f>VLOOKUP(A10,Materiales3[],5,FALSE)*D10</f>
        <v>618.24</v>
      </c>
      <c r="F10" s="81">
        <f>VLOOKUP(A10,Materiales3[],6,FALSE)</f>
        <v>0</v>
      </c>
      <c r="G10" s="81">
        <f t="shared" si="0"/>
        <v>0</v>
      </c>
    </row>
    <row r="11" spans="1:7" ht="14.5">
      <c r="A11" s="147">
        <v>89</v>
      </c>
      <c r="B11" s="107" t="str">
        <f>VLOOKUP(A11,Materiales3[],3,FALSE)</f>
        <v>Agua</v>
      </c>
      <c r="C11" s="79" t="str">
        <f>VLOOKUP(A11,Materiales3[],4,FALSE)</f>
        <v>L</v>
      </c>
      <c r="D11" s="79">
        <f>+'Memoria Civil'!C40</f>
        <v>115</v>
      </c>
      <c r="E11" s="79">
        <f>VLOOKUP(A11,Materiales3[],5,FALSE)*D11</f>
        <v>115</v>
      </c>
      <c r="F11" s="81">
        <f>VLOOKUP(A11,Materiales3[],6,FALSE)</f>
        <v>0</v>
      </c>
      <c r="G11" s="81">
        <f t="shared" si="0"/>
        <v>0</v>
      </c>
    </row>
    <row r="12" spans="1:7" ht="14.5">
      <c r="A12" s="147">
        <v>92</v>
      </c>
      <c r="B12" s="107" t="str">
        <f>VLOOKUP(A12,Materiales3[],3,FALSE)</f>
        <v>Cemento hidráulico tipo ART</v>
      </c>
      <c r="C12" s="79" t="str">
        <f>VLOOKUP(A12,Materiales3[],4,FALSE)</f>
        <v>kg</v>
      </c>
      <c r="D12" s="79">
        <f>+'Memoria Civil'!C37</f>
        <v>161</v>
      </c>
      <c r="E12" s="79">
        <f>VLOOKUP(A12,Materiales3[],5,FALSE)*D12</f>
        <v>161</v>
      </c>
      <c r="F12" s="81">
        <f>VLOOKUP(A12,Materiales3[],6,FALSE)</f>
        <v>0</v>
      </c>
      <c r="G12" s="81">
        <f t="shared" si="0"/>
        <v>0</v>
      </c>
    </row>
    <row r="13" spans="1:7" ht="14.5">
      <c r="A13" s="147"/>
      <c r="B13" s="107" t="s">
        <v>440</v>
      </c>
      <c r="C13" s="79"/>
      <c r="D13" s="79">
        <v>0.05</v>
      </c>
      <c r="E13" s="79">
        <f>+(E9+E10+E11+E12)*D13</f>
        <v>65.320000000000007</v>
      </c>
      <c r="F13" s="81">
        <f>+(G9+G10+G11+G12)</f>
        <v>0</v>
      </c>
      <c r="G13" s="81">
        <f t="shared" si="0"/>
        <v>0</v>
      </c>
    </row>
    <row r="14" spans="1:7" ht="14.5">
      <c r="A14" s="147"/>
      <c r="B14" s="327" t="s">
        <v>441</v>
      </c>
      <c r="C14" s="79"/>
      <c r="D14" s="79"/>
      <c r="E14" s="79"/>
      <c r="F14" s="81"/>
      <c r="G14" s="81"/>
    </row>
    <row r="15" spans="1:7" ht="14.5">
      <c r="A15" s="147">
        <v>150</v>
      </c>
      <c r="B15" s="107" t="str">
        <f>VLOOKUP(A15,Materiales3[],3,FALSE)</f>
        <v>Malla electrosoldada 150x150x7mm ASTM 706</v>
      </c>
      <c r="C15" s="79" t="str">
        <f>VLOOKUP(A15,Materiales3[],4,FALSE)</f>
        <v>kg</v>
      </c>
      <c r="D15" s="79">
        <f>+'Memoria Civil'!G33</f>
        <v>3.97</v>
      </c>
      <c r="E15" s="79">
        <f>VLOOKUP(A15,Materiales3[],5,FALSE)*D15</f>
        <v>3.97</v>
      </c>
      <c r="F15" s="81">
        <f>VLOOKUP(A15,Materiales3[],6,FALSE)</f>
        <v>0</v>
      </c>
      <c r="G15" s="81">
        <f t="shared" ref="G15:G16" si="1">D15*F15</f>
        <v>0</v>
      </c>
    </row>
    <row r="16" spans="1:7" ht="14.5">
      <c r="A16" s="147"/>
      <c r="B16" s="107" t="s">
        <v>442</v>
      </c>
      <c r="C16" s="79"/>
      <c r="D16" s="79">
        <v>0.15</v>
      </c>
      <c r="E16" s="79">
        <f>+(E15)*D16</f>
        <v>0.59550000000000003</v>
      </c>
      <c r="F16" s="81">
        <f>+(G15)</f>
        <v>0</v>
      </c>
      <c r="G16" s="81">
        <f t="shared" si="1"/>
        <v>0</v>
      </c>
    </row>
    <row r="17" spans="1:7" ht="14.5">
      <c r="A17" s="147"/>
      <c r="B17" s="327" t="s">
        <v>356</v>
      </c>
      <c r="C17" s="79"/>
      <c r="D17" s="79"/>
      <c r="E17" s="79"/>
      <c r="F17" s="81"/>
      <c r="G17" s="81"/>
    </row>
    <row r="18" spans="1:7" ht="14.5">
      <c r="A18" s="147">
        <v>379</v>
      </c>
      <c r="B18" s="107" t="str">
        <f>VLOOKUP(A18,Materiales3[],3,FALSE)</f>
        <v xml:space="preserve">Angulo L ASTM A572 Gr. 50 galvanizado 3/16"x2" </v>
      </c>
      <c r="C18" s="79" t="str">
        <f>VLOOKUP(A18,Materiales3[],4,FALSE)</f>
        <v>kg</v>
      </c>
      <c r="D18" s="79">
        <f>+'Memoria Civil'!F44</f>
        <v>38</v>
      </c>
      <c r="E18" s="79">
        <f>VLOOKUP(A18,Materiales3[],5,FALSE)*D18</f>
        <v>38</v>
      </c>
      <c r="F18" s="81">
        <f>VLOOKUP(A18,Materiales3[],6,FALSE)</f>
        <v>0</v>
      </c>
      <c r="G18" s="81">
        <f t="shared" ref="G18:G27" si="2">D18*F18</f>
        <v>0</v>
      </c>
    </row>
    <row r="19" spans="1:7" ht="14.5">
      <c r="A19" s="147">
        <v>371</v>
      </c>
      <c r="B19" s="107" t="str">
        <f>VLOOKUP(A19,Materiales3[],3,FALSE)</f>
        <v>Angulo L ASTM A572 Gr. 50 galvanizado 1/8"x1 1/2"</v>
      </c>
      <c r="C19" s="79" t="str">
        <f>VLOOKUP(A19,Materiales3[],4,FALSE)</f>
        <v>kg</v>
      </c>
      <c r="D19" s="79">
        <f>+'Memoria Civil'!F45</f>
        <v>5.3070000000000004</v>
      </c>
      <c r="E19" s="79">
        <f>VLOOKUP(A19,Materiales3[],5,FALSE)*D19</f>
        <v>5.3070000000000004</v>
      </c>
      <c r="F19" s="81">
        <f>VLOOKUP(A19,Materiales3[],6,FALSE)</f>
        <v>0</v>
      </c>
      <c r="G19" s="81">
        <f t="shared" si="2"/>
        <v>0</v>
      </c>
    </row>
    <row r="20" spans="1:7" ht="14.5">
      <c r="A20" s="147">
        <v>378</v>
      </c>
      <c r="B20" s="107" t="str">
        <f>VLOOKUP(A20,Materiales3[],3,FALSE)</f>
        <v xml:space="preserve">Angulo L ASTM A572 Gr. 50 galvanizado 3/16"x2 1/2" </v>
      </c>
      <c r="C20" s="79" t="str">
        <f>VLOOKUP(A20,Materiales3[],4,FALSE)</f>
        <v>kg</v>
      </c>
      <c r="D20" s="79">
        <f>+'Memoria Civil'!F46</f>
        <v>26.738</v>
      </c>
      <c r="E20" s="79">
        <f>VLOOKUP(A20,Materiales3[],5,FALSE)*D20</f>
        <v>26.738</v>
      </c>
      <c r="F20" s="81">
        <f>VLOOKUP(A20,Materiales3[],6,FALSE)</f>
        <v>0</v>
      </c>
      <c r="G20" s="81">
        <f t="shared" si="2"/>
        <v>0</v>
      </c>
    </row>
    <row r="21" spans="1:7" ht="14.5">
      <c r="A21" s="147">
        <v>378</v>
      </c>
      <c r="B21" s="107" t="str">
        <f>VLOOKUP(A21,Materiales3[],3,FALSE)</f>
        <v xml:space="preserve">Angulo L ASTM A572 Gr. 50 galvanizado 3/16"x2 1/2" </v>
      </c>
      <c r="C21" s="79" t="str">
        <f>VLOOKUP(A21,Materiales3[],4,FALSE)</f>
        <v>kg</v>
      </c>
      <c r="D21" s="79">
        <f>+'Memoria Civil'!F47</f>
        <v>16.9648</v>
      </c>
      <c r="E21" s="79">
        <f>VLOOKUP(A21,Materiales3[],5,FALSE)*D21</f>
        <v>16.9648</v>
      </c>
      <c r="F21" s="81">
        <f>VLOOKUP(A21,Materiales3[],6,FALSE)</f>
        <v>0</v>
      </c>
      <c r="G21" s="81">
        <f t="shared" si="2"/>
        <v>0</v>
      </c>
    </row>
    <row r="22" spans="1:7" ht="14.5">
      <c r="A22" s="147">
        <v>373</v>
      </c>
      <c r="B22" s="107" t="str">
        <f>VLOOKUP(A22,Materiales3[],3,FALSE)</f>
        <v>Platina ASTM A36 300x300, e=9,53mm</v>
      </c>
      <c r="C22" s="79" t="str">
        <f>VLOOKUP(A22,Materiales3[],4,FALSE)</f>
        <v>m2</v>
      </c>
      <c r="D22" s="79">
        <f>0.3*0.3</f>
        <v>0.09</v>
      </c>
      <c r="E22" s="79">
        <f>VLOOKUP(A22,Materiales3[],5,FALSE)*D22</f>
        <v>6.7364999999999995</v>
      </c>
      <c r="F22" s="81">
        <f>VLOOKUP(A22,Materiales3[],6,FALSE)</f>
        <v>0</v>
      </c>
      <c r="G22" s="81">
        <f t="shared" si="2"/>
        <v>0</v>
      </c>
    </row>
    <row r="23" spans="1:7" ht="14.5">
      <c r="A23" s="147">
        <v>374</v>
      </c>
      <c r="B23" s="107" t="str">
        <f>VLOOKUP(A23,Materiales3[],3,FALSE)</f>
        <v xml:space="preserve">Platina ASTM A36 200 x 50, e=6,35mm </v>
      </c>
      <c r="C23" s="79" t="str">
        <f>VLOOKUP(A23,Materiales3[],4,FALSE)</f>
        <v>m2</v>
      </c>
      <c r="D23" s="79">
        <f>0.2*0.05*4</f>
        <v>4.0000000000000008E-2</v>
      </c>
      <c r="E23" s="79">
        <f>VLOOKUP(A23,Materiales3[],5,FALSE)*D23</f>
        <v>1.9948000000000004</v>
      </c>
      <c r="F23" s="81">
        <f>VLOOKUP(A23,Materiales3[],6,FALSE)</f>
        <v>0</v>
      </c>
      <c r="G23" s="81">
        <f t="shared" si="2"/>
        <v>0</v>
      </c>
    </row>
    <row r="24" spans="1:7" ht="14.5">
      <c r="A24" s="147">
        <v>375</v>
      </c>
      <c r="B24" s="107" t="str">
        <f>VLOOKUP(A24,Materiales3[],3,FALSE)</f>
        <v>Soldadura electrodo E7018</v>
      </c>
      <c r="C24" s="79" t="str">
        <f>VLOOKUP(A24,Materiales3[],4,FALSE)</f>
        <v>kg</v>
      </c>
      <c r="D24" s="79">
        <f>0.5</f>
        <v>0.5</v>
      </c>
      <c r="E24" s="79">
        <f>VLOOKUP(A24,Materiales3[],5,FALSE)*D24</f>
        <v>0.5</v>
      </c>
      <c r="F24" s="81">
        <f>VLOOKUP(A24,Materiales3[],6,FALSE)</f>
        <v>0</v>
      </c>
      <c r="G24" s="81">
        <f t="shared" si="2"/>
        <v>0</v>
      </c>
    </row>
    <row r="25" spans="1:7" ht="14.5">
      <c r="A25" s="147">
        <v>376</v>
      </c>
      <c r="B25" s="107" t="str">
        <f>VLOOKUP(A25,Materiales3[],3,FALSE)</f>
        <v xml:space="preserve">Perno ASTM A325 galvanizado 3/8", L=8" </v>
      </c>
      <c r="C25" s="79" t="str">
        <f>VLOOKUP(A25,Materiales3[],4,FALSE)</f>
        <v>und</v>
      </c>
      <c r="D25" s="79">
        <v>2</v>
      </c>
      <c r="E25" s="79">
        <f>VLOOKUP(A25,Materiales3[],5,FALSE)*D25</f>
        <v>1</v>
      </c>
      <c r="F25" s="81">
        <f>VLOOKUP(A25,Materiales3[],6,FALSE)</f>
        <v>0</v>
      </c>
      <c r="G25" s="81">
        <f t="shared" si="2"/>
        <v>0</v>
      </c>
    </row>
    <row r="26" spans="1:7" ht="14.5">
      <c r="A26" s="147">
        <v>377</v>
      </c>
      <c r="B26" s="107" t="str">
        <f>VLOOKUP(A26,Materiales3[],3,FALSE)</f>
        <v xml:space="preserve">Tornillo metálico galvanizado 13x38mm </v>
      </c>
      <c r="C26" s="79" t="str">
        <f>VLOOKUP(A26,Materiales3[],4,FALSE)</f>
        <v>und</v>
      </c>
      <c r="D26" s="79">
        <v>4</v>
      </c>
      <c r="E26" s="79">
        <f>VLOOKUP(A26,Materiales3[],5,FALSE)*D26</f>
        <v>0.4</v>
      </c>
      <c r="F26" s="81">
        <f>VLOOKUP(A26,Materiales3[],6,FALSE)</f>
        <v>0</v>
      </c>
      <c r="G26" s="81">
        <f t="shared" si="2"/>
        <v>0</v>
      </c>
    </row>
    <row r="27" spans="1:7" ht="30.65" customHeight="1">
      <c r="A27" s="147">
        <v>101</v>
      </c>
      <c r="B27" s="107" t="str">
        <f>VLOOKUP(A27,Materiales3[],3,FALSE)</f>
        <v xml:space="preserve">Poste en poliéster reforzado con fibra de vidrio (PRFV) ASCE 104/ASTM D4923, h=4m, 510kgf. </v>
      </c>
      <c r="C27" s="79" t="str">
        <f>VLOOKUP(A27,Materiales3[],4,FALSE)</f>
        <v>UN</v>
      </c>
      <c r="D27" s="79">
        <v>1</v>
      </c>
      <c r="E27" s="79">
        <f>VLOOKUP(A27,Materiales3[],5,FALSE)*D27</f>
        <v>21</v>
      </c>
      <c r="F27" s="81">
        <f>VLOOKUP(A27,Materiales3[],6,FALSE)</f>
        <v>0</v>
      </c>
      <c r="G27" s="81">
        <f t="shared" si="2"/>
        <v>0</v>
      </c>
    </row>
    <row r="28" spans="1:7" ht="13">
      <c r="D28" s="86"/>
      <c r="E28" s="86"/>
      <c r="F28" s="87" t="s">
        <v>425</v>
      </c>
      <c r="G28" s="88">
        <f>SUM(G8:G27)</f>
        <v>0</v>
      </c>
    </row>
    <row r="29" spans="1:7">
      <c r="G29" s="111"/>
    </row>
    <row r="30" spans="1:7" ht="13">
      <c r="B30" s="89" t="s">
        <v>426</v>
      </c>
      <c r="G30" s="112"/>
    </row>
    <row r="31" spans="1:7" ht="13">
      <c r="A31" s="146" t="s">
        <v>137</v>
      </c>
      <c r="B31" s="76" t="s">
        <v>28</v>
      </c>
      <c r="C31" s="77" t="s">
        <v>436</v>
      </c>
      <c r="D31" s="77" t="s">
        <v>427</v>
      </c>
      <c r="E31" s="77"/>
      <c r="F31" s="77" t="s">
        <v>30</v>
      </c>
      <c r="G31" s="77" t="s">
        <v>270</v>
      </c>
    </row>
    <row r="32" spans="1:7" ht="14.5">
      <c r="A32" s="147">
        <v>1</v>
      </c>
      <c r="B32" s="82" t="str">
        <f>VLOOKUP(A32,Equipoyherramienta[],2,FALSE)</f>
        <v>Herramienta menor</v>
      </c>
      <c r="C32" s="83" t="str">
        <f>VLOOKUP(A32,Equipoyherramienta[],3,FALSE)</f>
        <v>UN</v>
      </c>
      <c r="D32" s="90">
        <f>VLOOKUP(A32,Equipoyherramienta[],4,FALSE)</f>
        <v>0</v>
      </c>
      <c r="E32" s="90"/>
      <c r="F32" s="109">
        <f>+RENDIMIENTOS!C45</f>
        <v>2</v>
      </c>
      <c r="G32" s="90">
        <f>ROUND(D32/F32,0)</f>
        <v>0</v>
      </c>
    </row>
    <row r="33" spans="1:17">
      <c r="B33" s="82"/>
      <c r="C33" s="83"/>
      <c r="D33" s="85"/>
      <c r="E33" s="85"/>
      <c r="F33" s="91"/>
      <c r="G33" s="92"/>
    </row>
    <row r="34" spans="1:17">
      <c r="B34" s="82"/>
      <c r="C34" s="83"/>
      <c r="D34" s="85"/>
      <c r="E34" s="85"/>
      <c r="F34" s="91"/>
      <c r="G34" s="92"/>
    </row>
    <row r="35" spans="1:17" ht="13">
      <c r="D35" s="86"/>
      <c r="E35" s="86"/>
      <c r="F35" s="87" t="s">
        <v>425</v>
      </c>
      <c r="G35" s="88">
        <f>SUM(G32:G34)</f>
        <v>0</v>
      </c>
    </row>
    <row r="36" spans="1:17" ht="13">
      <c r="D36" s="86"/>
      <c r="E36" s="86"/>
      <c r="F36" s="86"/>
      <c r="G36" s="93"/>
    </row>
    <row r="37" spans="1:17" ht="13">
      <c r="B37" s="75" t="s">
        <v>428</v>
      </c>
      <c r="G37" s="94"/>
    </row>
    <row r="38" spans="1:17" ht="13">
      <c r="A38" s="146" t="s">
        <v>137</v>
      </c>
      <c r="B38" s="76" t="s">
        <v>28</v>
      </c>
      <c r="C38" s="77" t="s">
        <v>268</v>
      </c>
      <c r="D38" s="77" t="s">
        <v>352</v>
      </c>
      <c r="E38" s="77"/>
      <c r="F38" s="77" t="s">
        <v>437</v>
      </c>
      <c r="G38" s="95" t="s">
        <v>270</v>
      </c>
    </row>
    <row r="39" spans="1:17" ht="50">
      <c r="A39" s="147">
        <v>6</v>
      </c>
      <c r="B39" s="96" t="str">
        <f>VLOOKUP(A39,Transp.[],2,FALSE)</f>
        <v>Carga terrestre desde Barranquilla hasta Usuario, incluye cargues, descargues, cruces de río, transporte semoviente, transporte en vehículo de carga pesada y cualquier otro tranposte.</v>
      </c>
      <c r="C39" s="79" t="s">
        <v>438</v>
      </c>
      <c r="D39" s="80">
        <f>SUM(E15:E27)+E12</f>
        <v>284.20659999999998</v>
      </c>
      <c r="E39" s="80"/>
      <c r="F39" s="97">
        <f>VLOOKUP(A39,Transp.[],6,FALSE)</f>
        <v>0</v>
      </c>
      <c r="G39" s="97">
        <f>D39*F39</f>
        <v>0</v>
      </c>
    </row>
    <row r="40" spans="1:17" ht="14.5">
      <c r="A40" s="147">
        <v>7</v>
      </c>
      <c r="B40" s="96" t="str">
        <f>VLOOKUP(A40,Transp.[],2,FALSE)</f>
        <v xml:space="preserve">Carga Material Cantera hasta Veredas </v>
      </c>
      <c r="C40" s="79" t="s">
        <v>438</v>
      </c>
      <c r="D40" s="80">
        <f>+(E9+E10)*1.05</f>
        <v>1081.92</v>
      </c>
      <c r="E40" s="80"/>
      <c r="F40" s="97">
        <f>VLOOKUP(A40,Transp.[],6,FALSE)</f>
        <v>0</v>
      </c>
      <c r="G40" s="97">
        <f>D40*F40</f>
        <v>0</v>
      </c>
    </row>
    <row r="41" spans="1:17" ht="13.15" customHeight="1">
      <c r="A41" s="147"/>
      <c r="B41" s="96"/>
      <c r="C41" s="79"/>
      <c r="D41" s="80"/>
      <c r="E41" s="80"/>
      <c r="F41" s="97"/>
      <c r="G41" s="97"/>
    </row>
    <row r="42" spans="1:17" ht="13">
      <c r="D42" s="86"/>
      <c r="E42" s="86"/>
      <c r="F42" s="99" t="s">
        <v>425</v>
      </c>
      <c r="G42" s="88">
        <f>SUM(G39:G41)</f>
        <v>0</v>
      </c>
      <c r="L42" s="75" t="s">
        <v>432</v>
      </c>
      <c r="N42" s="100"/>
      <c r="O42" s="100"/>
      <c r="P42" s="101"/>
      <c r="Q42" s="94"/>
    </row>
    <row r="43" spans="1:17" ht="13">
      <c r="K43" s="146" t="s">
        <v>137</v>
      </c>
      <c r="L43" s="77" t="s">
        <v>28</v>
      </c>
      <c r="M43" s="77" t="s">
        <v>433</v>
      </c>
      <c r="N43" s="77" t="s">
        <v>434</v>
      </c>
      <c r="O43" s="77"/>
      <c r="P43" s="77" t="s">
        <v>30</v>
      </c>
      <c r="Q43" s="95" t="s">
        <v>270</v>
      </c>
    </row>
    <row r="44" spans="1:17" ht="13">
      <c r="B44" s="75" t="s">
        <v>432</v>
      </c>
      <c r="D44" s="100"/>
      <c r="E44" s="100"/>
      <c r="F44" s="101"/>
      <c r="G44" s="94"/>
      <c r="K44" s="68" t="s">
        <v>443</v>
      </c>
    </row>
    <row r="45" spans="1:17" s="86" customFormat="1" ht="14.5">
      <c r="A45" s="146" t="s">
        <v>137</v>
      </c>
      <c r="B45" s="77" t="s">
        <v>28</v>
      </c>
      <c r="C45" s="77" t="s">
        <v>433</v>
      </c>
      <c r="D45" s="77" t="s">
        <v>434</v>
      </c>
      <c r="E45" s="77"/>
      <c r="F45" s="77" t="s">
        <v>30</v>
      </c>
      <c r="G45" s="95" t="s">
        <v>270</v>
      </c>
      <c r="K45" s="147">
        <v>4</v>
      </c>
      <c r="L45" s="102" t="str">
        <f>VLOOKUP(K45,ManoObra[],2,FALSE)</f>
        <v>Oficial de obra</v>
      </c>
      <c r="M45" s="103" t="e">
        <f>VLOOKUP(K45,ManoObra[],8,FALSE)</f>
        <v>#DIV/0!</v>
      </c>
      <c r="N45" s="91">
        <f>+FP!E27</f>
        <v>0</v>
      </c>
      <c r="O45" s="91"/>
      <c r="P45" s="109">
        <f>+RENDIMIENTOS!C54/'Memoria Civil'!E23</f>
        <v>17.391304347826086</v>
      </c>
      <c r="Q45" s="90" t="e">
        <f>ROUND(M45*N45/P45,0)</f>
        <v>#DIV/0!</v>
      </c>
    </row>
    <row r="46" spans="1:17" ht="14.5">
      <c r="A46" s="147">
        <v>4</v>
      </c>
      <c r="B46" s="102" t="str">
        <f>VLOOKUP(A46,ManoObra[],2,FALSE)</f>
        <v>Oficial de obra</v>
      </c>
      <c r="C46" s="103" t="e">
        <f>VLOOKUP(A46,ManoObra[],8,FALSE)</f>
        <v>#DIV/0!</v>
      </c>
      <c r="D46" s="91">
        <f>+FP!E27</f>
        <v>0</v>
      </c>
      <c r="E46" s="91"/>
      <c r="F46" s="109" t="e">
        <f>+Q61</f>
        <v>#DIV/0!</v>
      </c>
      <c r="G46" s="90" t="e">
        <f>ROUND(C46*D46/F46,0)</f>
        <v>#DIV/0!</v>
      </c>
      <c r="K46" s="147">
        <v>2</v>
      </c>
      <c r="L46" s="102" t="str">
        <f>VLOOKUP(K46,ManoObra[],2,FALSE)</f>
        <v>Ayudante</v>
      </c>
      <c r="M46" s="103" t="e">
        <f>VLOOKUP(K46,ManoObra[],8,FALSE)</f>
        <v>#DIV/0!</v>
      </c>
      <c r="N46" s="91">
        <f>+FP!E27</f>
        <v>0</v>
      </c>
      <c r="O46" s="91"/>
      <c r="P46" s="109">
        <f>+P45</f>
        <v>17.391304347826086</v>
      </c>
      <c r="Q46" s="90" t="e">
        <f>ROUND(M46*N46/P46,0)</f>
        <v>#DIV/0!</v>
      </c>
    </row>
    <row r="47" spans="1:17" ht="14.5">
      <c r="A47" s="147">
        <v>2</v>
      </c>
      <c r="B47" s="102" t="str">
        <f>VLOOKUP(A47,ManoObra[],2,FALSE)</f>
        <v>Ayudante</v>
      </c>
      <c r="C47" s="103" t="e">
        <f>VLOOKUP(A47,ManoObra[],8,FALSE)</f>
        <v>#DIV/0!</v>
      </c>
      <c r="D47" s="91">
        <f>+FP!E27</f>
        <v>0</v>
      </c>
      <c r="E47" s="91"/>
      <c r="F47" s="109" t="e">
        <f>+Q62</f>
        <v>#DIV/0!</v>
      </c>
      <c r="G47" s="90" t="e">
        <f>ROUND(C47*D47/F47,0)</f>
        <v>#DIV/0!</v>
      </c>
      <c r="K47" s="68" t="s">
        <v>444</v>
      </c>
    </row>
    <row r="48" spans="1:17" ht="14.5">
      <c r="A48" s="147">
        <v>20</v>
      </c>
      <c r="B48" s="102" t="str">
        <f>VLOOKUP(A48,ManoObra[],2,FALSE)</f>
        <v>Soldador</v>
      </c>
      <c r="C48" s="103" t="e">
        <f>VLOOKUP(A48,ManoObra[],8,FALSE)</f>
        <v>#DIV/0!</v>
      </c>
      <c r="D48" s="91">
        <f>+FP!E27</f>
        <v>0</v>
      </c>
      <c r="E48" s="91"/>
      <c r="F48" s="109" t="e">
        <f>+Q63</f>
        <v>#DIV/0!</v>
      </c>
      <c r="G48" s="90" t="e">
        <f>ROUND(C48*D48/F48,0)</f>
        <v>#DIV/0!</v>
      </c>
      <c r="K48" s="147">
        <v>2</v>
      </c>
      <c r="L48" s="102" t="str">
        <f>VLOOKUP(K48,ManoObra[],2,FALSE)</f>
        <v>Ayudante</v>
      </c>
      <c r="M48" s="103" t="e">
        <f>VLOOKUP(K48,ManoObra[],8,FALSE)</f>
        <v>#DIV/0!</v>
      </c>
      <c r="N48" s="91">
        <f>+FP!E27</f>
        <v>0</v>
      </c>
      <c r="O48" s="91"/>
      <c r="P48" s="109">
        <f>+RENDIMIENTOS!C51/'Memoria Civil'!E9</f>
        <v>10.869565217391305</v>
      </c>
      <c r="Q48" s="90" t="e">
        <f>ROUND(M48*N48/P48,0)</f>
        <v>#DIV/0!</v>
      </c>
    </row>
    <row r="49" spans="2:17" ht="13">
      <c r="D49" s="86"/>
      <c r="E49" s="86"/>
      <c r="F49" s="99" t="s">
        <v>425</v>
      </c>
      <c r="G49" s="113" t="e">
        <f>SUM(G46:G48)</f>
        <v>#DIV/0!</v>
      </c>
      <c r="K49" s="68" t="s">
        <v>445</v>
      </c>
    </row>
    <row r="50" spans="2:17" ht="14.5">
      <c r="D50" s="86"/>
      <c r="E50" s="86"/>
      <c r="G50" s="94"/>
      <c r="K50" s="147">
        <v>4</v>
      </c>
      <c r="L50" s="102" t="str">
        <f>VLOOKUP(K50,ManoObra[],2,FALSE)</f>
        <v>Oficial de obra</v>
      </c>
      <c r="M50" s="103" t="e">
        <f>VLOOKUP(K50,ManoObra[],8,FALSE)</f>
        <v>#DIV/0!</v>
      </c>
      <c r="N50" s="91">
        <f>+FP!E27</f>
        <v>0</v>
      </c>
      <c r="O50" s="91"/>
      <c r="P50" s="109">
        <f>+RENDIMIENTOS!C56/'Memoria Civil'!G33</f>
        <v>62.972292191435763</v>
      </c>
      <c r="Q50" s="90" t="e">
        <f>ROUND(M50*N50/P50,0)</f>
        <v>#DIV/0!</v>
      </c>
    </row>
    <row r="51" spans="2:17" ht="12.75" customHeight="1">
      <c r="B51" s="86"/>
      <c r="D51" s="563" t="s">
        <v>435</v>
      </c>
      <c r="E51" s="565"/>
      <c r="F51" s="564"/>
      <c r="G51" s="104" t="e">
        <f>G28+G35+G42+G49</f>
        <v>#DIV/0!</v>
      </c>
      <c r="K51" s="147">
        <v>2</v>
      </c>
      <c r="L51" s="102" t="str">
        <f>VLOOKUP(K51,ManoObra[],2,FALSE)</f>
        <v>Ayudante</v>
      </c>
      <c r="M51" s="103" t="e">
        <f>VLOOKUP(K51,ManoObra[],8,FALSE)</f>
        <v>#DIV/0!</v>
      </c>
      <c r="N51" s="91">
        <f>+FP!E27</f>
        <v>0</v>
      </c>
      <c r="O51" s="91"/>
      <c r="P51" s="109">
        <f>+P50</f>
        <v>62.972292191435763</v>
      </c>
      <c r="Q51" s="90" t="e">
        <f>ROUND(M51*N51/P51,0)</f>
        <v>#DIV/0!</v>
      </c>
    </row>
    <row r="52" spans="2:17">
      <c r="K52" s="68" t="s">
        <v>446</v>
      </c>
    </row>
    <row r="53" spans="2:17" ht="14.5">
      <c r="K53" s="147">
        <v>20</v>
      </c>
      <c r="L53" s="102" t="str">
        <f>VLOOKUP(K53,ManoObra[],2,FALSE)</f>
        <v>Soldador</v>
      </c>
      <c r="M53" s="103" t="e">
        <f>VLOOKUP(K53,ManoObra[],8,FALSE)</f>
        <v>#DIV/0!</v>
      </c>
      <c r="N53" s="91">
        <f>+FP!E27</f>
        <v>0</v>
      </c>
      <c r="O53" s="91"/>
      <c r="P53" s="109">
        <f>+RENDIMIENTOS!C58/'Memoria Civil'!F52</f>
        <v>0.4161897825408386</v>
      </c>
      <c r="Q53" s="90" t="e">
        <f>ROUND(M53*N53/P53,0)</f>
        <v>#DIV/0!</v>
      </c>
    </row>
    <row r="54" spans="2:17" ht="14.5">
      <c r="K54" s="147">
        <v>2</v>
      </c>
      <c r="L54" s="102" t="str">
        <f>VLOOKUP(K54,ManoObra[],2,FALSE)</f>
        <v>Ayudante</v>
      </c>
      <c r="M54" s="103" t="e">
        <f>VLOOKUP(K54,ManoObra[],8,FALSE)</f>
        <v>#DIV/0!</v>
      </c>
      <c r="N54" s="91">
        <f>+FP!E27</f>
        <v>0</v>
      </c>
      <c r="O54" s="91"/>
      <c r="P54" s="109">
        <f>+P53</f>
        <v>0.4161897825408386</v>
      </c>
      <c r="Q54" s="90" t="e">
        <f>ROUND(M54*N54/P54,0)</f>
        <v>#DIV/0!</v>
      </c>
    </row>
    <row r="55" spans="2:17">
      <c r="K55" s="68" t="s">
        <v>447</v>
      </c>
    </row>
    <row r="56" spans="2:17" ht="14.5">
      <c r="K56" s="147">
        <v>4</v>
      </c>
      <c r="L56" s="102" t="str">
        <f>VLOOKUP(K56,ManoObra[],2,FALSE)</f>
        <v>Oficial de obra</v>
      </c>
      <c r="M56" s="103" t="e">
        <f>VLOOKUP(K56,ManoObra[],8,FALSE)</f>
        <v>#DIV/0!</v>
      </c>
      <c r="N56" s="91">
        <f>+FP!E27</f>
        <v>0</v>
      </c>
      <c r="O56" s="91"/>
      <c r="P56" s="109">
        <v>10</v>
      </c>
      <c r="Q56" s="90" t="e">
        <f>ROUND(M56*N56/P56,0)</f>
        <v>#DIV/0!</v>
      </c>
    </row>
    <row r="57" spans="2:17" ht="14.5">
      <c r="K57" s="147">
        <v>2</v>
      </c>
      <c r="L57" s="102" t="str">
        <f>VLOOKUP(K57,ManoObra[],2,FALSE)</f>
        <v>Ayudante</v>
      </c>
      <c r="M57" s="103" t="e">
        <f>VLOOKUP(K57,ManoObra[],8,FALSE)</f>
        <v>#DIV/0!</v>
      </c>
      <c r="N57" s="91">
        <f>+FP!E27</f>
        <v>0</v>
      </c>
      <c r="O57" s="91"/>
      <c r="P57" s="109">
        <f>+P56</f>
        <v>10</v>
      </c>
      <c r="Q57" s="90" t="e">
        <f>ROUND(M57*N57/P57,0)</f>
        <v>#DIV/0!</v>
      </c>
    </row>
    <row r="58" spans="2:17" ht="13">
      <c r="N58" s="86"/>
      <c r="O58" s="86"/>
      <c r="P58" s="99" t="s">
        <v>425</v>
      </c>
      <c r="Q58" s="113" t="e">
        <f>SUM(Q45:Q57)</f>
        <v>#DIV/0!</v>
      </c>
    </row>
    <row r="60" spans="2:17">
      <c r="Q60" s="68" t="s">
        <v>448</v>
      </c>
    </row>
    <row r="61" spans="2:17" ht="14.5">
      <c r="K61" s="147">
        <v>4</v>
      </c>
      <c r="L61" s="102" t="str">
        <f>VLOOKUP(K61,ManoObra[],2,FALSE)</f>
        <v>Oficial de obra</v>
      </c>
      <c r="M61" s="103" t="e">
        <f>VLOOKUP(K61,ManoObra[],8,FALSE)</f>
        <v>#DIV/0!</v>
      </c>
      <c r="N61" s="91">
        <f>+FP!E27</f>
        <v>0</v>
      </c>
      <c r="O61" s="90" t="e">
        <f>+Q45+Q50+Q56</f>
        <v>#DIV/0!</v>
      </c>
      <c r="Q61" s="68" t="e">
        <f>(N61*M61)/O61</f>
        <v>#DIV/0!</v>
      </c>
    </row>
    <row r="62" spans="2:17" ht="14.5">
      <c r="K62" s="147">
        <v>2</v>
      </c>
      <c r="L62" s="102" t="str">
        <f>VLOOKUP(K62,ManoObra[],2,FALSE)</f>
        <v>Ayudante</v>
      </c>
      <c r="M62" s="103" t="e">
        <f>VLOOKUP(K62,ManoObra[],8,FALSE)</f>
        <v>#DIV/0!</v>
      </c>
      <c r="N62" s="91">
        <f>+FP!E27</f>
        <v>0</v>
      </c>
      <c r="O62" s="90" t="e">
        <f>+Q46+Q48+Q51+Q54+Q57</f>
        <v>#DIV/0!</v>
      </c>
      <c r="Q62" s="68" t="e">
        <f t="shared" ref="Q62:Q63" si="3">(N62*M62)/O62</f>
        <v>#DIV/0!</v>
      </c>
    </row>
    <row r="63" spans="2:17" ht="14.5">
      <c r="K63" s="147">
        <v>20</v>
      </c>
      <c r="L63" s="102" t="str">
        <f>VLOOKUP(K63,ManoObra[],2,FALSE)</f>
        <v>Soldador</v>
      </c>
      <c r="M63" s="103" t="e">
        <f>VLOOKUP(K63,ManoObra[],8,FALSE)</f>
        <v>#DIV/0!</v>
      </c>
      <c r="N63" s="91">
        <f>+FP!E27</f>
        <v>0</v>
      </c>
      <c r="O63" s="90" t="e">
        <f>+Q53</f>
        <v>#DIV/0!</v>
      </c>
      <c r="Q63" s="68" t="e">
        <f t="shared" si="3"/>
        <v>#DIV/0!</v>
      </c>
    </row>
  </sheetData>
  <mergeCells count="3">
    <mergeCell ref="B1:G1"/>
    <mergeCell ref="B4:E4"/>
    <mergeCell ref="D51:F51"/>
  </mergeCells>
  <printOptions horizontalCentered="1"/>
  <pageMargins left="0.70866141732283472" right="0.70866141732283472" top="1.5748031496062993" bottom="0.98425196850393704" header="0.98425196850393704" footer="0.51181102362204722"/>
  <pageSetup scale="68" orientation="portrait" r:id="rId1"/>
  <headerFooter alignWithMargins="0">
    <oddHeader xml:space="preserve">&amp;C&amp;"Arial,Negrita"&amp;12ANÁLISIS DE PRECIOS UNITARIOS
</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4D37-AE4B-4DA2-AC26-2CEBC8D3B266}">
  <sheetPr>
    <tabColor theme="4" tint="0.59999389629810485"/>
    <pageSetUpPr fitToPage="1"/>
  </sheetPr>
  <dimension ref="A1:G33"/>
  <sheetViews>
    <sheetView showGridLines="0" view="pageBreakPreview" zoomScale="80" zoomScaleNormal="120" zoomScaleSheetLayoutView="80" workbookViewId="0">
      <selection activeCell="A4" sqref="A4:A32"/>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SISFV'!A15</f>
        <v>2.2</v>
      </c>
      <c r="D3" s="70"/>
      <c r="E3" s="70"/>
      <c r="F3" s="70"/>
      <c r="G3" s="71" t="s">
        <v>423</v>
      </c>
    </row>
    <row r="4" spans="1:7" ht="58.9" customHeight="1">
      <c r="B4" s="560" t="str">
        <f>+'PRES. SISFV'!B15</f>
        <v>Excavación de zanja para acometida principal en zona verde, de 20 cm de ancho x 60 cm de profundidad y hasta 6 m de longitud. Se utilizará para relleno, el mismo material excavado.</v>
      </c>
      <c r="C4" s="566"/>
      <c r="D4" s="566"/>
      <c r="E4" s="567"/>
      <c r="G4" s="72" t="str">
        <f>+'PRES. SISFV'!C15</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147"/>
      <c r="B8" s="107"/>
      <c r="C8" s="79"/>
      <c r="D8" s="79"/>
      <c r="E8" s="79"/>
      <c r="F8" s="81"/>
      <c r="G8" s="81"/>
    </row>
    <row r="9" spans="1:7" ht="14.5">
      <c r="A9" s="147"/>
      <c r="B9" s="107"/>
      <c r="C9" s="79"/>
      <c r="D9" s="79"/>
      <c r="E9" s="79"/>
      <c r="F9" s="81"/>
      <c r="G9" s="81"/>
    </row>
    <row r="10" spans="1:7" ht="14.5">
      <c r="A10" s="7"/>
      <c r="B10" s="107"/>
      <c r="C10" s="79"/>
      <c r="D10" s="79"/>
      <c r="E10" s="79"/>
      <c r="F10" s="81"/>
      <c r="G10" s="81"/>
    </row>
    <row r="11" spans="1:7" ht="13">
      <c r="D11" s="86"/>
      <c r="E11" s="86"/>
      <c r="F11" s="87" t="s">
        <v>425</v>
      </c>
      <c r="G11" s="88">
        <f>SUM(G8:G10)</f>
        <v>0</v>
      </c>
    </row>
    <row r="12" spans="1:7">
      <c r="G12" s="111"/>
    </row>
    <row r="13" spans="1:7" ht="13">
      <c r="B13" s="89" t="s">
        <v>426</v>
      </c>
      <c r="G13" s="112"/>
    </row>
    <row r="14" spans="1:7" ht="13">
      <c r="A14" s="146" t="s">
        <v>137</v>
      </c>
      <c r="B14" s="76" t="s">
        <v>28</v>
      </c>
      <c r="C14" s="77" t="s">
        <v>436</v>
      </c>
      <c r="D14" s="77" t="s">
        <v>427</v>
      </c>
      <c r="E14" s="77"/>
      <c r="F14" s="77" t="s">
        <v>30</v>
      </c>
      <c r="G14" s="77" t="s">
        <v>270</v>
      </c>
    </row>
    <row r="15" spans="1:7" ht="14.5">
      <c r="A15" s="147">
        <v>1</v>
      </c>
      <c r="B15" s="82" t="str">
        <f>VLOOKUP(A15,Equipoyherramienta[],2,FALSE)</f>
        <v>Herramienta menor</v>
      </c>
      <c r="C15" s="83" t="str">
        <f>VLOOKUP(A15,Equipoyherramienta[],3,FALSE)</f>
        <v>UN</v>
      </c>
      <c r="D15" s="90">
        <f>VLOOKUP(A15,Equipoyherramienta[],4,FALSE)</f>
        <v>0</v>
      </c>
      <c r="E15" s="90"/>
      <c r="F15" s="109">
        <v>5</v>
      </c>
      <c r="G15" s="90">
        <f>ROUND(D15/F15,0)</f>
        <v>0</v>
      </c>
    </row>
    <row r="16" spans="1:7" ht="14.5">
      <c r="A16" s="147">
        <v>5</v>
      </c>
      <c r="B16" s="82" t="str">
        <f>VLOOKUP(A16,Equipoyherramienta[],2,FALSE)</f>
        <v>Herramienta para hoyar</v>
      </c>
      <c r="C16" s="83" t="str">
        <f>VLOOKUP(A16,Equipoyherramienta[],3,FALSE)</f>
        <v>HORA</v>
      </c>
      <c r="D16" s="90">
        <f>VLOOKUP(A16,Equipoyherramienta[],4,FALSE)</f>
        <v>0</v>
      </c>
      <c r="E16" s="85"/>
      <c r="F16" s="109">
        <v>5</v>
      </c>
      <c r="G16" s="90">
        <f>ROUND(D16/F16,0)</f>
        <v>0</v>
      </c>
    </row>
    <row r="17" spans="1:7">
      <c r="B17" s="82"/>
      <c r="C17" s="83"/>
      <c r="D17" s="85"/>
      <c r="E17" s="85"/>
      <c r="F17" s="91"/>
      <c r="G17" s="92"/>
    </row>
    <row r="18" spans="1:7" ht="13">
      <c r="D18" s="86"/>
      <c r="E18" s="86"/>
      <c r="F18" s="87" t="s">
        <v>425</v>
      </c>
      <c r="G18" s="88">
        <f>SUM(G15:G17)</f>
        <v>0</v>
      </c>
    </row>
    <row r="19" spans="1:7" ht="13">
      <c r="D19" s="86"/>
      <c r="E19" s="86"/>
      <c r="F19" s="86"/>
      <c r="G19" s="93"/>
    </row>
    <row r="20" spans="1:7" ht="13">
      <c r="B20" s="75" t="s">
        <v>428</v>
      </c>
      <c r="G20" s="94"/>
    </row>
    <row r="21" spans="1:7" ht="13">
      <c r="A21" s="146" t="s">
        <v>137</v>
      </c>
      <c r="B21" s="76" t="s">
        <v>28</v>
      </c>
      <c r="C21" s="77" t="s">
        <v>268</v>
      </c>
      <c r="D21" s="77" t="s">
        <v>352</v>
      </c>
      <c r="E21" s="77"/>
      <c r="F21" s="77" t="s">
        <v>437</v>
      </c>
      <c r="G21" s="95" t="s">
        <v>270</v>
      </c>
    </row>
    <row r="22" spans="1:7" ht="26.5" customHeight="1">
      <c r="A22" s="147">
        <v>3</v>
      </c>
      <c r="B22" s="96" t="str">
        <f>VLOOKUP(A22,Transp.[],2,FALSE)</f>
        <v>Pasaje terrestre</v>
      </c>
      <c r="C22" s="79" t="s">
        <v>438</v>
      </c>
      <c r="D22" s="80">
        <f>SUM(E8:E10)</f>
        <v>0</v>
      </c>
      <c r="E22" s="80"/>
      <c r="F22" s="97">
        <f>VLOOKUP(A22,Transp.[],6,FALSE)</f>
        <v>0</v>
      </c>
      <c r="G22" s="97">
        <f>D22*F22</f>
        <v>0</v>
      </c>
    </row>
    <row r="23" spans="1:7" ht="13.15" customHeight="1">
      <c r="A23" s="147"/>
      <c r="B23" s="96"/>
      <c r="C23" s="79"/>
      <c r="D23" s="80"/>
      <c r="E23" s="80"/>
      <c r="F23" s="97"/>
      <c r="G23" s="97"/>
    </row>
    <row r="24" spans="1:7" ht="13.15" customHeight="1">
      <c r="A24" s="147"/>
      <c r="B24" s="96"/>
      <c r="C24" s="79"/>
      <c r="D24" s="80"/>
      <c r="E24" s="80"/>
      <c r="F24" s="97"/>
      <c r="G24" s="97"/>
    </row>
    <row r="25" spans="1:7" ht="13">
      <c r="D25" s="86"/>
      <c r="E25" s="86"/>
      <c r="F25" s="99" t="s">
        <v>425</v>
      </c>
      <c r="G25" s="88">
        <f>SUM(G22:G24)</f>
        <v>0</v>
      </c>
    </row>
    <row r="27" spans="1:7" ht="13">
      <c r="B27" s="75" t="s">
        <v>432</v>
      </c>
      <c r="D27" s="100"/>
      <c r="E27" s="100"/>
      <c r="F27" s="101"/>
      <c r="G27" s="94"/>
    </row>
    <row r="28" spans="1:7" s="86" customFormat="1" ht="13">
      <c r="A28" s="146" t="s">
        <v>137</v>
      </c>
      <c r="B28" s="77" t="s">
        <v>28</v>
      </c>
      <c r="C28" s="77" t="s">
        <v>433</v>
      </c>
      <c r="D28" s="77" t="s">
        <v>434</v>
      </c>
      <c r="E28" s="77"/>
      <c r="F28" s="77" t="s">
        <v>30</v>
      </c>
      <c r="G28" s="95" t="s">
        <v>270</v>
      </c>
    </row>
    <row r="29" spans="1:7" ht="14.5">
      <c r="A29" s="147"/>
      <c r="B29" s="102"/>
      <c r="C29" s="103"/>
      <c r="D29" s="91"/>
      <c r="E29" s="91"/>
      <c r="F29" s="109"/>
      <c r="G29" s="90"/>
    </row>
    <row r="30" spans="1:7" ht="14.5">
      <c r="A30" s="147">
        <v>2</v>
      </c>
      <c r="B30" s="102" t="str">
        <f>VLOOKUP(A30,ManoObra[],2,FALSE)</f>
        <v>Ayudante</v>
      </c>
      <c r="C30" s="103" t="e">
        <f>VLOOKUP(A30,ManoObra[],8,FALSE)</f>
        <v>#DIV/0!</v>
      </c>
      <c r="D30" s="91">
        <f>+FP!E27</f>
        <v>0</v>
      </c>
      <c r="E30" s="91"/>
      <c r="F30" s="109">
        <v>5</v>
      </c>
      <c r="G30" s="90" t="e">
        <f>ROUND(C30*D30/F30,0)</f>
        <v>#DIV/0!</v>
      </c>
    </row>
    <row r="31" spans="1:7" ht="13">
      <c r="D31" s="86"/>
      <c r="E31" s="86"/>
      <c r="F31" s="99" t="s">
        <v>425</v>
      </c>
      <c r="G31" s="113" t="e">
        <f>SUM(G29:G30)</f>
        <v>#DIV/0!</v>
      </c>
    </row>
    <row r="32" spans="1:7" ht="13">
      <c r="D32" s="86"/>
      <c r="E32" s="86"/>
      <c r="G32" s="94"/>
    </row>
    <row r="33" spans="2:7" ht="12.75" customHeight="1">
      <c r="B33" s="86"/>
      <c r="D33" s="563" t="s">
        <v>435</v>
      </c>
      <c r="E33" s="565"/>
      <c r="F33" s="564"/>
      <c r="G33" s="104" t="e">
        <f>G11+G18+G25+G31</f>
        <v>#DIV/0!</v>
      </c>
    </row>
  </sheetData>
  <mergeCells count="3">
    <mergeCell ref="B1:G1"/>
    <mergeCell ref="B4:E4"/>
    <mergeCell ref="D33:F33"/>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2D0F-24B4-4481-A4DB-A78A172FCFF3}">
  <sheetPr>
    <tabColor theme="4" tint="0.59999389629810485"/>
    <pageSetUpPr fitToPage="1"/>
  </sheetPr>
  <dimension ref="A1:G45"/>
  <sheetViews>
    <sheetView showGridLines="0" view="pageBreakPreview" topLeftCell="A7" zoomScale="80" zoomScaleNormal="120" zoomScaleSheetLayoutView="80" workbookViewId="0">
      <selection activeCell="A2" sqref="A2:A62"/>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SISFV'!A17</f>
        <v>3.1</v>
      </c>
      <c r="D3" s="70"/>
      <c r="E3" s="70"/>
      <c r="F3" s="70"/>
      <c r="G3" s="71" t="s">
        <v>423</v>
      </c>
    </row>
    <row r="4" spans="1:7" ht="61.9" customHeight="1">
      <c r="B4" s="560" t="str">
        <f>+'PRES. SISFV'!B17</f>
        <v>Suministro e instalación de Medidor prepago monofásico bifilar 5 (80) A, 120 V, calibrado. Incluye sistema de  gestión de recaudo y equipos de comunicación standalone.</v>
      </c>
      <c r="C4" s="566"/>
      <c r="D4" s="566"/>
      <c r="E4" s="567"/>
      <c r="G4" s="72" t="str">
        <f>+'PRES. SISFV'!C17</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147">
        <v>342</v>
      </c>
      <c r="B8" s="107" t="str">
        <f>VLOOKUP(A8,Materiales3[],3,FALSE)</f>
        <v>Medidor Prepago 120V 5-80A</v>
      </c>
      <c r="C8" s="79" t="str">
        <f>VLOOKUP(A8,Materiales3[],4,FALSE)</f>
        <v>UN</v>
      </c>
      <c r="D8" s="79">
        <v>1</v>
      </c>
      <c r="E8" s="79">
        <f>VLOOKUP(A8,Materiales3[],5,FALSE)*D8</f>
        <v>0.5</v>
      </c>
      <c r="F8" s="81">
        <f>VLOOKUP(A8,Materiales3[],6,FALSE)</f>
        <v>0</v>
      </c>
      <c r="G8" s="379">
        <f>D8*F8</f>
        <v>0</v>
      </c>
    </row>
    <row r="9" spans="1:7" ht="14.5">
      <c r="A9" s="147">
        <v>392</v>
      </c>
      <c r="B9" s="107" t="str">
        <f>VLOOKUP(A9,Materiales3[],3,FALSE)</f>
        <v>Caja medidor pequeña con interruptor magnetico</v>
      </c>
      <c r="C9" s="79" t="str">
        <f>VLOOKUP(A9,Materiales3[],4,FALSE)</f>
        <v>UN</v>
      </c>
      <c r="D9" s="79">
        <v>1</v>
      </c>
      <c r="E9" s="79">
        <f>VLOOKUP(A9,Materiales3[],5,FALSE)*D9</f>
        <v>0.5</v>
      </c>
      <c r="F9" s="81">
        <f>VLOOKUP(A9,Materiales3[],6,FALSE)</f>
        <v>0</v>
      </c>
      <c r="G9" s="379">
        <f t="shared" ref="G9:G12" si="0">D9*F9</f>
        <v>0</v>
      </c>
    </row>
    <row r="10" spans="1:7" ht="14.5">
      <c r="A10" s="147">
        <v>393</v>
      </c>
      <c r="B10" s="107" t="str">
        <f>VLOOKUP(A10,Materiales3[],3,FALSE)</f>
        <v>Datasol DC Wifi (inlcuye 2 tarjetas Mifare)</v>
      </c>
      <c r="C10" s="79" t="str">
        <f>VLOOKUP(A10,Materiales3[],4,FALSE)</f>
        <v>UN</v>
      </c>
      <c r="D10" s="79">
        <v>1</v>
      </c>
      <c r="E10" s="79">
        <f>VLOOKUP(A10,Materiales3[],5,FALSE)*D10</f>
        <v>0.5</v>
      </c>
      <c r="F10" s="81">
        <f>VLOOKUP(A10,Materiales3[],6,FALSE)</f>
        <v>0</v>
      </c>
      <c r="G10" s="379">
        <f t="shared" si="0"/>
        <v>0</v>
      </c>
    </row>
    <row r="11" spans="1:7" ht="14.5">
      <c r="A11" s="147">
        <v>394</v>
      </c>
      <c r="B11" s="107" t="str">
        <f>VLOOKUP(A11,Materiales3[],3,FALSE)</f>
        <v>Aplicativo servidor de captura datalogger</v>
      </c>
      <c r="C11" s="79" t="str">
        <f>VLOOKUP(A11,Materiales3[],4,FALSE)</f>
        <v>UN</v>
      </c>
      <c r="D11" s="165">
        <f>1/(Usuarios!$C$22)</f>
        <v>2.717391304347826E-3</v>
      </c>
      <c r="E11" s="165">
        <f>VLOOKUP(A11,Materiales3[],5,FALSE)*D11</f>
        <v>1.358695652173913E-3</v>
      </c>
      <c r="F11" s="81">
        <f>VLOOKUP(A11,Materiales3[],6,FALSE)</f>
        <v>0</v>
      </c>
      <c r="G11" s="379">
        <f t="shared" si="0"/>
        <v>0</v>
      </c>
    </row>
    <row r="12" spans="1:7" ht="14.5">
      <c r="A12" s="147">
        <v>395</v>
      </c>
      <c r="B12" s="107" t="str">
        <f>VLOOKUP(A12,Materiales3[],3,FALSE)</f>
        <v>App Software Android Lectura informacion medidores</v>
      </c>
      <c r="C12" s="79" t="str">
        <f>VLOOKUP(A12,Materiales3[],4,FALSE)</f>
        <v>UN</v>
      </c>
      <c r="D12" s="165">
        <f>1/(Usuarios!$C$22)</f>
        <v>2.717391304347826E-3</v>
      </c>
      <c r="E12" s="165">
        <f>VLOOKUP(A12,Materiales3[],5,FALSE)*D12</f>
        <v>1.358695652173913E-3</v>
      </c>
      <c r="F12" s="81">
        <f>VLOOKUP(A12,Materiales3[],6,FALSE)</f>
        <v>0</v>
      </c>
      <c r="G12" s="379">
        <f t="shared" si="0"/>
        <v>0</v>
      </c>
    </row>
    <row r="13" spans="1:7" ht="14.5">
      <c r="A13" s="147">
        <v>343</v>
      </c>
      <c r="B13" s="107" t="str">
        <f>VLOOKUP(A13,Materiales3[],3,FALSE)</f>
        <v xml:space="preserve">Plataforma de Recaudo </v>
      </c>
      <c r="C13" s="79" t="str">
        <f>VLOOKUP(A13,Materiales3[],4,FALSE)</f>
        <v>UN</v>
      </c>
      <c r="D13" s="165">
        <f>1/(Usuarios!$C$22)</f>
        <v>2.717391304347826E-3</v>
      </c>
      <c r="E13" s="165">
        <f>VLOOKUP(A13,Materiales3[],5,FALSE)*D13</f>
        <v>1.358695652173913E-3</v>
      </c>
      <c r="F13" s="81">
        <f>VLOOKUP(A13,Materiales3[],6,FALSE)</f>
        <v>0</v>
      </c>
      <c r="G13" s="379">
        <f t="shared" ref="G13:G21" si="1">D13*F13</f>
        <v>0</v>
      </c>
    </row>
    <row r="14" spans="1:7" ht="14.5">
      <c r="A14" s="147">
        <v>344</v>
      </c>
      <c r="B14" s="107" t="str">
        <f>VLOOKUP(A14,Materiales3[],3,FALSE)</f>
        <v>Datafono Telpo  Local</v>
      </c>
      <c r="C14" s="79" t="str">
        <f>VLOOKUP(A14,Materiales3[],4,FALSE)</f>
        <v>UN</v>
      </c>
      <c r="D14" s="165">
        <f>7/(Usuarios!$C$22)</f>
        <v>1.9021739130434784E-2</v>
      </c>
      <c r="E14" s="165">
        <f>VLOOKUP(A14,Materiales3[],5,FALSE)*D14</f>
        <v>9.5108695652173919E-3</v>
      </c>
      <c r="F14" s="81">
        <f>VLOOKUP(A14,Materiales3[],6,FALSE)</f>
        <v>0</v>
      </c>
      <c r="G14" s="379">
        <f t="shared" si="1"/>
        <v>0</v>
      </c>
    </row>
    <row r="15" spans="1:7" ht="14.5">
      <c r="A15" s="147">
        <v>345</v>
      </c>
      <c r="B15" s="107" t="str">
        <f>VLOOKUP(A15,Materiales3[],3,FALSE)</f>
        <v xml:space="preserve"> Software Datafono Telpo Local</v>
      </c>
      <c r="C15" s="79" t="str">
        <f>VLOOKUP(A15,Materiales3[],4,FALSE)</f>
        <v>UN</v>
      </c>
      <c r="D15" s="165">
        <f>1/(Usuarios!$C$22)</f>
        <v>2.717391304347826E-3</v>
      </c>
      <c r="E15" s="165">
        <f>VLOOKUP(A15,Materiales3[],5,FALSE)*D15</f>
        <v>0</v>
      </c>
      <c r="F15" s="81">
        <f>VLOOKUP(A15,Materiales3[],6,FALSE)</f>
        <v>0</v>
      </c>
      <c r="G15" s="379">
        <f t="shared" ref="G15" si="2">D15*F15</f>
        <v>0</v>
      </c>
    </row>
    <row r="16" spans="1:7" ht="14.5">
      <c r="A16" s="147">
        <v>346</v>
      </c>
      <c r="B16" s="107" t="str">
        <f>VLOOKUP(A16,Materiales3[],3,FALSE)</f>
        <v>Datafono Telpo  Viajero</v>
      </c>
      <c r="C16" s="79" t="str">
        <f>VLOOKUP(A16,Materiales3[],4,FALSE)</f>
        <v>UN</v>
      </c>
      <c r="D16" s="165">
        <f>7/(Usuarios!$C$22)</f>
        <v>1.9021739130434784E-2</v>
      </c>
      <c r="E16" s="165">
        <f>VLOOKUP(A16,Materiales3[],5,FALSE)*D16</f>
        <v>9.5108695652173919E-3</v>
      </c>
      <c r="F16" s="81">
        <f>VLOOKUP(A16,Materiales3[],6,FALSE)</f>
        <v>0</v>
      </c>
      <c r="G16" s="379">
        <f t="shared" si="1"/>
        <v>0</v>
      </c>
    </row>
    <row r="17" spans="1:7" ht="14.5">
      <c r="A17" s="147">
        <v>347</v>
      </c>
      <c r="B17" s="107" t="str">
        <f>VLOOKUP(A17,Materiales3[],3,FALSE)</f>
        <v xml:space="preserve"> Software Datafono Telpo Viajero</v>
      </c>
      <c r="C17" s="79" t="str">
        <f>VLOOKUP(A17,Materiales3[],4,FALSE)</f>
        <v>UN</v>
      </c>
      <c r="D17" s="165">
        <f>1/(Usuarios!$C$22)</f>
        <v>2.717391304347826E-3</v>
      </c>
      <c r="E17" s="165">
        <f>VLOOKUP(A17,Materiales3[],5,FALSE)*D17</f>
        <v>0</v>
      </c>
      <c r="F17" s="81">
        <f>VLOOKUP(A17,Materiales3[],6,FALSE)</f>
        <v>0</v>
      </c>
      <c r="G17" s="379">
        <f t="shared" ref="G17" si="3">D17*F17</f>
        <v>0</v>
      </c>
    </row>
    <row r="18" spans="1:7" ht="14.5">
      <c r="A18" s="147">
        <v>348</v>
      </c>
      <c r="B18" s="107" t="str">
        <f>VLOOKUP(A18,Materiales3[],3,FALSE)</f>
        <v>Servidor (Pantalla-Teclado-Mouse)</v>
      </c>
      <c r="C18" s="79" t="str">
        <f>VLOOKUP(A18,Materiales3[],4,FALSE)</f>
        <v>UN</v>
      </c>
      <c r="D18" s="165">
        <f>1/(Usuarios!$C$22)</f>
        <v>2.717391304347826E-3</v>
      </c>
      <c r="E18" s="165">
        <f>VLOOKUP(A18,Materiales3[],5,FALSE)*D18</f>
        <v>1.358695652173913E-3</v>
      </c>
      <c r="F18" s="81">
        <f>VLOOKUP(A18,Materiales3[],6,FALSE)</f>
        <v>0</v>
      </c>
      <c r="G18" s="81">
        <f t="shared" si="1"/>
        <v>0</v>
      </c>
    </row>
    <row r="19" spans="1:7" ht="14.5">
      <c r="A19" s="147">
        <v>349</v>
      </c>
      <c r="B19" s="107" t="str">
        <f>VLOOKUP(A19,Materiales3[],3,FALSE)</f>
        <v>UPS  Servidor</v>
      </c>
      <c r="C19" s="79" t="str">
        <f>VLOOKUP(A19,Materiales3[],4,FALSE)</f>
        <v>UN</v>
      </c>
      <c r="D19" s="165">
        <f>1/(Usuarios!$C$22)</f>
        <v>2.717391304347826E-3</v>
      </c>
      <c r="E19" s="165">
        <f>VLOOKUP(A19,Materiales3[],5,FALSE)*D19</f>
        <v>1.358695652173913E-3</v>
      </c>
      <c r="F19" s="81">
        <f>VLOOKUP(A19,Materiales3[],6,FALSE)</f>
        <v>0</v>
      </c>
      <c r="G19" s="81">
        <f t="shared" si="1"/>
        <v>0</v>
      </c>
    </row>
    <row r="20" spans="1:7" ht="14.5">
      <c r="A20" s="147">
        <v>350</v>
      </c>
      <c r="B20" s="107" t="str">
        <f>VLOOKUP(A20,Materiales3[],3,FALSE)</f>
        <v>Entrenamiento y puesta en marcha plataforma (virtual)</v>
      </c>
      <c r="C20" s="79" t="str">
        <f>VLOOKUP(A20,Materiales3[],4,FALSE)</f>
        <v>UN</v>
      </c>
      <c r="D20" s="165">
        <f>7/(Usuarios!$C$22)</f>
        <v>1.9021739130434784E-2</v>
      </c>
      <c r="E20" s="165">
        <f>VLOOKUP(A20,Materiales3[],5,FALSE)*D20</f>
        <v>9.5108695652173919E-3</v>
      </c>
      <c r="F20" s="81">
        <f>VLOOKUP(A20,Materiales3[],6,FALSE)</f>
        <v>0</v>
      </c>
      <c r="G20" s="81">
        <f t="shared" si="1"/>
        <v>0</v>
      </c>
    </row>
    <row r="21" spans="1:7" ht="25">
      <c r="A21" s="147">
        <v>351</v>
      </c>
      <c r="B21" s="107" t="str">
        <f>VLOOKUP(A21,Materiales3[],3,FALSE)</f>
        <v>Entrenamiento y puesta en marcha servidor de captura (virtual)</v>
      </c>
      <c r="C21" s="79" t="str">
        <f>VLOOKUP(A21,Materiales3[],4,FALSE)</f>
        <v>UN</v>
      </c>
      <c r="D21" s="165">
        <f>7/(Usuarios!$C$22)</f>
        <v>1.9021739130434784E-2</v>
      </c>
      <c r="E21" s="165">
        <f>VLOOKUP(A21,Materiales3[],5,FALSE)*D21</f>
        <v>9.5108695652173919E-3</v>
      </c>
      <c r="F21" s="81">
        <f>VLOOKUP(A21,Materiales3[],6,FALSE)</f>
        <v>0</v>
      </c>
      <c r="G21" s="81">
        <f t="shared" si="1"/>
        <v>0</v>
      </c>
    </row>
    <row r="22" spans="1:7" ht="13">
      <c r="D22" s="86"/>
      <c r="E22" s="86"/>
      <c r="F22" s="87" t="s">
        <v>425</v>
      </c>
      <c r="G22" s="88">
        <f>SUM(G8:G21)</f>
        <v>0</v>
      </c>
    </row>
    <row r="23" spans="1:7">
      <c r="G23" s="111"/>
    </row>
    <row r="24" spans="1:7" ht="13">
      <c r="B24" s="89" t="s">
        <v>426</v>
      </c>
      <c r="G24" s="112"/>
    </row>
    <row r="25" spans="1:7" ht="13">
      <c r="A25" s="146" t="s">
        <v>137</v>
      </c>
      <c r="B25" s="76" t="s">
        <v>28</v>
      </c>
      <c r="C25" s="77" t="s">
        <v>436</v>
      </c>
      <c r="D25" s="77" t="s">
        <v>427</v>
      </c>
      <c r="E25" s="77"/>
      <c r="F25" s="77" t="s">
        <v>30</v>
      </c>
      <c r="G25" s="77" t="s">
        <v>270</v>
      </c>
    </row>
    <row r="26" spans="1:7" ht="14.5">
      <c r="A26" s="147">
        <v>1</v>
      </c>
      <c r="B26" s="82" t="str">
        <f>VLOOKUP(A26,Equipoyherramienta[],2,FALSE)</f>
        <v>Herramienta menor</v>
      </c>
      <c r="C26" s="83" t="str">
        <f>VLOOKUP(A26,Equipoyherramienta[],3,FALSE)</f>
        <v>UN</v>
      </c>
      <c r="D26" s="90">
        <f>VLOOKUP(A26,Equipoyherramienta[],4,FALSE)</f>
        <v>0</v>
      </c>
      <c r="E26" s="90"/>
      <c r="F26" s="109">
        <v>2.42</v>
      </c>
      <c r="G26" s="90">
        <f>ROUND(D26/F26,0)</f>
        <v>0</v>
      </c>
    </row>
    <row r="27" spans="1:7">
      <c r="B27" s="82"/>
      <c r="C27" s="83"/>
      <c r="D27" s="85"/>
      <c r="E27" s="85"/>
      <c r="F27" s="91"/>
      <c r="G27" s="92"/>
    </row>
    <row r="28" spans="1:7">
      <c r="B28" s="82"/>
      <c r="C28" s="83"/>
      <c r="D28" s="85"/>
      <c r="E28" s="85"/>
      <c r="F28" s="91"/>
      <c r="G28" s="92"/>
    </row>
    <row r="29" spans="1:7" ht="13">
      <c r="D29" s="86"/>
      <c r="E29" s="86"/>
      <c r="F29" s="87" t="s">
        <v>425</v>
      </c>
      <c r="G29" s="88">
        <f>SUM(G26:G28)</f>
        <v>0</v>
      </c>
    </row>
    <row r="30" spans="1:7" ht="13">
      <c r="D30" s="86"/>
      <c r="E30" s="86"/>
      <c r="F30" s="86"/>
      <c r="G30" s="93"/>
    </row>
    <row r="31" spans="1:7" ht="13">
      <c r="B31" s="75" t="s">
        <v>428</v>
      </c>
      <c r="G31" s="94"/>
    </row>
    <row r="32" spans="1:7" ht="13">
      <c r="A32" s="146" t="s">
        <v>137</v>
      </c>
      <c r="B32" s="76" t="s">
        <v>28</v>
      </c>
      <c r="C32" s="77" t="s">
        <v>268</v>
      </c>
      <c r="D32" s="77" t="s">
        <v>352</v>
      </c>
      <c r="E32" s="77"/>
      <c r="F32" s="77" t="s">
        <v>437</v>
      </c>
      <c r="G32" s="95" t="s">
        <v>270</v>
      </c>
    </row>
    <row r="33" spans="1:7" ht="58.9" customHeight="1">
      <c r="A33" s="147">
        <v>6</v>
      </c>
      <c r="B33" s="96" t="str">
        <f>VLOOKUP(A33,Transp.[],2,FALSE)</f>
        <v>Carga terrestre desde Barranquilla hasta Usuario, incluye cargues, descargues, cruces de río, transporte semoviente, transporte en vehículo de carga pesada y cualquier otro tranposte.</v>
      </c>
      <c r="C33" s="79" t="s">
        <v>438</v>
      </c>
      <c r="D33" s="80">
        <f>SUM(E8:E21)</f>
        <v>1.5448369565217384</v>
      </c>
      <c r="E33" s="80"/>
      <c r="F33" s="97">
        <f>VLOOKUP(A33,Transp.[],6,FALSE)</f>
        <v>0</v>
      </c>
      <c r="G33" s="97">
        <f>D33*F33</f>
        <v>0</v>
      </c>
    </row>
    <row r="34" spans="1:7" ht="13.15" customHeight="1">
      <c r="A34" s="147"/>
      <c r="B34" s="96"/>
      <c r="C34" s="79"/>
      <c r="D34" s="80"/>
      <c r="E34" s="80"/>
      <c r="F34" s="97"/>
      <c r="G34" s="97"/>
    </row>
    <row r="35" spans="1:7" ht="13.15" customHeight="1">
      <c r="A35" s="147"/>
      <c r="B35" s="96"/>
      <c r="C35" s="79"/>
      <c r="D35" s="80"/>
      <c r="E35" s="80"/>
      <c r="F35" s="97"/>
      <c r="G35" s="97"/>
    </row>
    <row r="36" spans="1:7" ht="13">
      <c r="D36" s="86"/>
      <c r="E36" s="86"/>
      <c r="F36" s="99" t="s">
        <v>425</v>
      </c>
      <c r="G36" s="88">
        <f>SUM(G33:G35)</f>
        <v>0</v>
      </c>
    </row>
    <row r="38" spans="1:7" ht="13">
      <c r="B38" s="75" t="s">
        <v>432</v>
      </c>
      <c r="D38" s="100"/>
      <c r="E38" s="100"/>
      <c r="F38" s="101"/>
      <c r="G38" s="94"/>
    </row>
    <row r="39" spans="1:7" s="86" customFormat="1" ht="13">
      <c r="A39" s="146" t="s">
        <v>137</v>
      </c>
      <c r="B39" s="77" t="s">
        <v>28</v>
      </c>
      <c r="C39" s="77" t="s">
        <v>433</v>
      </c>
      <c r="D39" s="77" t="s">
        <v>434</v>
      </c>
      <c r="E39" s="77"/>
      <c r="F39" s="77" t="s">
        <v>30</v>
      </c>
      <c r="G39" s="95" t="s">
        <v>270</v>
      </c>
    </row>
    <row r="40" spans="1:7" ht="14.5">
      <c r="A40" s="147">
        <v>1</v>
      </c>
      <c r="B40" s="102" t="str">
        <f>VLOOKUP(A40,ManoObra[],2,FALSE)</f>
        <v>Electricista</v>
      </c>
      <c r="C40" s="103" t="e">
        <f>VLOOKUP(A40,ManoObra[],8,FALSE)</f>
        <v>#DIV/0!</v>
      </c>
      <c r="D40" s="91">
        <f>+FP!E27</f>
        <v>0</v>
      </c>
      <c r="E40" s="91"/>
      <c r="F40" s="109">
        <f>+F26/2</f>
        <v>1.21</v>
      </c>
      <c r="G40" s="90" t="e">
        <f>ROUND(C40*D40/F40,0)</f>
        <v>#DIV/0!</v>
      </c>
    </row>
    <row r="41" spans="1:7" ht="14.5">
      <c r="A41" s="147">
        <v>2</v>
      </c>
      <c r="B41" s="102" t="str">
        <f>VLOOKUP(A41,ManoObra[],2,FALSE)</f>
        <v>Ayudante</v>
      </c>
      <c r="C41" s="103" t="e">
        <f>VLOOKUP(A41,ManoObra[],8,FALSE)</f>
        <v>#DIV/0!</v>
      </c>
      <c r="D41" s="91">
        <f>+FP!E27</f>
        <v>0</v>
      </c>
      <c r="E41" s="91"/>
      <c r="F41" s="109">
        <f>+F40</f>
        <v>1.21</v>
      </c>
      <c r="G41" s="90" t="e">
        <f>ROUND(C41*D41/F41,0)</f>
        <v>#DIV/0!</v>
      </c>
    </row>
    <row r="42" spans="1:7" ht="14.5">
      <c r="A42" s="147"/>
      <c r="B42" s="108"/>
      <c r="C42" s="103"/>
      <c r="D42" s="91"/>
      <c r="E42" s="91"/>
      <c r="F42" s="84"/>
      <c r="G42" s="90"/>
    </row>
    <row r="43" spans="1:7" ht="13">
      <c r="D43" s="86"/>
      <c r="E43" s="86"/>
      <c r="F43" s="99" t="s">
        <v>425</v>
      </c>
      <c r="G43" s="113" t="e">
        <f>SUM(G40:G42)</f>
        <v>#DIV/0!</v>
      </c>
    </row>
    <row r="44" spans="1:7" ht="13">
      <c r="D44" s="86"/>
      <c r="E44" s="86"/>
      <c r="G44" s="94"/>
    </row>
    <row r="45" spans="1:7" ht="12.75" customHeight="1">
      <c r="B45" s="86"/>
      <c r="D45" s="563" t="s">
        <v>435</v>
      </c>
      <c r="E45" s="565"/>
      <c r="F45" s="564"/>
      <c r="G45" s="104" t="e">
        <f>G22+G29+G36+G43</f>
        <v>#DIV/0!</v>
      </c>
    </row>
  </sheetData>
  <mergeCells count="3">
    <mergeCell ref="B1:G1"/>
    <mergeCell ref="B4:E4"/>
    <mergeCell ref="D45:F45"/>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52FD-55E2-45E4-9D79-E4CB9F801629}">
  <sheetPr>
    <tabColor theme="4" tint="0.59999389629810485"/>
    <pageSetUpPr fitToPage="1"/>
  </sheetPr>
  <dimension ref="A1:G48"/>
  <sheetViews>
    <sheetView showGridLines="0" view="pageBreakPreview" zoomScale="80" zoomScaleNormal="120" zoomScaleSheetLayoutView="80" workbookViewId="0">
      <selection activeCell="D43" sqref="D43"/>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SISFV'!A19</f>
        <v>4.1</v>
      </c>
      <c r="D3" s="70"/>
      <c r="E3" s="70"/>
      <c r="F3" s="70"/>
      <c r="G3" s="71" t="s">
        <v>423</v>
      </c>
    </row>
    <row r="4" spans="1:7" ht="61.15" customHeight="1">
      <c r="B4" s="560" t="str">
        <f>+'PRES. SISFV'!B19</f>
        <v>Instalaciones Internas que incluyan 4 salidas de alumbrado y 4 tomacorrientes. Se considera implementación de hasta 20 metros de tubería EMT de 3/4" y hasta 80 mts de cable de cobre aislado THHN No. 12 AWG</v>
      </c>
      <c r="C4" s="566"/>
      <c r="D4" s="566"/>
      <c r="E4" s="567"/>
      <c r="G4" s="72" t="str">
        <f>+'PRES. SISFV'!C19</f>
        <v>UN</v>
      </c>
    </row>
    <row r="5" spans="1:7" ht="13">
      <c r="B5" s="73"/>
      <c r="G5" s="74"/>
    </row>
    <row r="6" spans="1:7" ht="13">
      <c r="B6" s="89" t="s">
        <v>424</v>
      </c>
    </row>
    <row r="7" spans="1:7" ht="13">
      <c r="A7" s="108" t="s">
        <v>137</v>
      </c>
      <c r="B7" s="77" t="s">
        <v>28</v>
      </c>
      <c r="C7" s="77" t="s">
        <v>268</v>
      </c>
      <c r="D7" s="77" t="s">
        <v>57</v>
      </c>
      <c r="E7" s="77" t="s">
        <v>352</v>
      </c>
      <c r="F7" s="77" t="s">
        <v>269</v>
      </c>
      <c r="G7" s="77" t="s">
        <v>270</v>
      </c>
    </row>
    <row r="8" spans="1:7" ht="14.5">
      <c r="A8" s="167">
        <v>118</v>
      </c>
      <c r="B8" s="107" t="str">
        <f>VLOOKUP(A8,Materiales3[],3,FALSE)</f>
        <v>Tablero de distribución 1Ø - 3H de 4 circuitos</v>
      </c>
      <c r="C8" s="79" t="str">
        <f>VLOOKUP(A8,Materiales3[],4,FALSE)</f>
        <v>UN</v>
      </c>
      <c r="D8" s="79">
        <v>1</v>
      </c>
      <c r="E8" s="79">
        <f>VLOOKUP(A8,Materiales3[],5,FALSE)*D8</f>
        <v>1.21</v>
      </c>
      <c r="F8" s="81">
        <f>VLOOKUP(A8,Materiales3[],6,FALSE)</f>
        <v>0</v>
      </c>
      <c r="G8" s="81">
        <f>D8*F8</f>
        <v>0</v>
      </c>
    </row>
    <row r="9" spans="1:7" ht="22.15" customHeight="1">
      <c r="A9" s="167">
        <v>119</v>
      </c>
      <c r="B9" s="107" t="str">
        <f>VLOOKUP(A9,Materiales3[],3,FALSE)</f>
        <v>Interruptor termomagnético enchufable 1 x 20 A, 120 VAC - 10 KA</v>
      </c>
      <c r="C9" s="79" t="str">
        <f>VLOOKUP(A9,Materiales3[],4,FALSE)</f>
        <v>UN</v>
      </c>
      <c r="D9" s="168">
        <v>2</v>
      </c>
      <c r="E9" s="79">
        <f>VLOOKUP(A9,Materiales3[],5,FALSE)*D9</f>
        <v>0.48</v>
      </c>
      <c r="F9" s="81">
        <f>VLOOKUP(A9,Materiales3[],6,FALSE)</f>
        <v>0</v>
      </c>
      <c r="G9" s="81">
        <f t="shared" ref="G9:G24" si="0">D9*F9</f>
        <v>0</v>
      </c>
    </row>
    <row r="10" spans="1:7" ht="14.5">
      <c r="A10" s="167">
        <v>120</v>
      </c>
      <c r="B10" s="107" t="str">
        <f>VLOOKUP(A10,Materiales3[],3,FALSE)</f>
        <v>Caja PVC 4" x 4" con tapa lisa</v>
      </c>
      <c r="C10" s="79" t="str">
        <f>VLOOKUP(A10,Materiales3[],4,FALSE)</f>
        <v>UN</v>
      </c>
      <c r="D10" s="168">
        <v>2</v>
      </c>
      <c r="E10" s="79">
        <f>VLOOKUP(A10,Materiales3[],5,FALSE)*D10</f>
        <v>0.13600000000000001</v>
      </c>
      <c r="F10" s="81">
        <f>VLOOKUP(A10,Materiales3[],6,FALSE)</f>
        <v>0</v>
      </c>
      <c r="G10" s="81">
        <f t="shared" si="0"/>
        <v>0</v>
      </c>
    </row>
    <row r="11" spans="1:7" ht="14.5">
      <c r="A11" s="167">
        <v>121</v>
      </c>
      <c r="B11" s="107" t="str">
        <f>VLOOKUP(A11,Materiales3[],3,FALSE)</f>
        <v>Plafón de losa</v>
      </c>
      <c r="C11" s="79" t="str">
        <f>VLOOKUP(A11,Materiales3[],4,FALSE)</f>
        <v>UN</v>
      </c>
      <c r="D11" s="168">
        <v>4</v>
      </c>
      <c r="E11" s="79">
        <f>VLOOKUP(A11,Materiales3[],5,FALSE)*D11</f>
        <v>0.23599999999999999</v>
      </c>
      <c r="F11" s="81">
        <f>VLOOKUP(A11,Materiales3[],6,FALSE)</f>
        <v>0</v>
      </c>
      <c r="G11" s="81">
        <f t="shared" si="0"/>
        <v>0</v>
      </c>
    </row>
    <row r="12" spans="1:7" ht="14.5">
      <c r="A12" s="167">
        <v>122</v>
      </c>
      <c r="B12" s="107" t="str">
        <f>VLOOKUP(A12,Materiales3[],3,FALSE)</f>
        <v>Interruptor sencillo</v>
      </c>
      <c r="C12" s="79" t="str">
        <f>VLOOKUP(A12,Materiales3[],4,FALSE)</f>
        <v>UN</v>
      </c>
      <c r="D12" s="168">
        <v>4</v>
      </c>
      <c r="E12" s="79">
        <f>VLOOKUP(A12,Materiales3[],5,FALSE)*D12</f>
        <v>0.12</v>
      </c>
      <c r="F12" s="81">
        <f>VLOOKUP(A12,Materiales3[],6,FALSE)</f>
        <v>0</v>
      </c>
      <c r="G12" s="81">
        <f t="shared" si="0"/>
        <v>0</v>
      </c>
    </row>
    <row r="13" spans="1:7" ht="14.5">
      <c r="A13" s="167">
        <v>123</v>
      </c>
      <c r="B13" s="107" t="str">
        <f>VLOOKUP(A13,Materiales3[],3,FALSE)</f>
        <v>Conector tipo resorte No 12 AWG</v>
      </c>
      <c r="C13" s="79" t="str">
        <f>VLOOKUP(A13,Materiales3[],4,FALSE)</f>
        <v>UN</v>
      </c>
      <c r="D13" s="168">
        <v>16</v>
      </c>
      <c r="E13" s="79">
        <f>VLOOKUP(A13,Materiales3[],5,FALSE)*D13</f>
        <v>0.16</v>
      </c>
      <c r="F13" s="81">
        <f>VLOOKUP(A13,Materiales3[],6,FALSE)</f>
        <v>0</v>
      </c>
      <c r="G13" s="81">
        <f t="shared" si="0"/>
        <v>0</v>
      </c>
    </row>
    <row r="14" spans="1:7" ht="14.5">
      <c r="A14" s="167">
        <v>124</v>
      </c>
      <c r="B14" s="107" t="str">
        <f>VLOOKUP(A14,Materiales3[],3,FALSE)</f>
        <v>Cable Cu THHN 12 AWG</v>
      </c>
      <c r="C14" s="79" t="str">
        <f>VLOOKUP(A14,Materiales3[],4,FALSE)</f>
        <v>ML</v>
      </c>
      <c r="D14" s="168">
        <f>22*3</f>
        <v>66</v>
      </c>
      <c r="E14" s="79">
        <f>VLOOKUP(A14,Materiales3[],5,FALSE)*D14</f>
        <v>2.2440000000000002</v>
      </c>
      <c r="F14" s="81">
        <f>VLOOKUP(A14,Materiales3[],6,FALSE)</f>
        <v>0</v>
      </c>
      <c r="G14" s="81">
        <f t="shared" si="0"/>
        <v>0</v>
      </c>
    </row>
    <row r="15" spans="1:7" ht="14.5">
      <c r="A15" s="167">
        <v>246</v>
      </c>
      <c r="B15" s="107" t="str">
        <f>VLOOKUP(A15,Materiales3[],3,FALSE)&amp;" Verde"</f>
        <v>Cable Cu THHN 8 AWG Verde</v>
      </c>
      <c r="C15" s="79" t="str">
        <f>VLOOKUP(A15,Materiales3[],4,FALSE)</f>
        <v>ML</v>
      </c>
      <c r="D15" s="168">
        <f>2.625+0.525*2</f>
        <v>3.6749999999999998</v>
      </c>
      <c r="E15" s="79">
        <f>VLOOKUP(A15,Materiales3[],5,FALSE)*D15</f>
        <v>0.3528</v>
      </c>
      <c r="F15" s="81">
        <f>VLOOKUP(A15,Materiales3[],6,FALSE)</f>
        <v>0</v>
      </c>
      <c r="G15" s="81">
        <f t="shared" si="0"/>
        <v>0</v>
      </c>
    </row>
    <row r="16" spans="1:7" ht="14.5">
      <c r="A16" s="167">
        <v>125</v>
      </c>
      <c r="B16" s="107" t="str">
        <f>VLOOKUP(A16,Materiales3[],3,FALSE)</f>
        <v>Tornillo metálico galvanizado 1/4" x 1" con arandela</v>
      </c>
      <c r="C16" s="79" t="str">
        <f>VLOOKUP(A16,Materiales3[],4,FALSE)</f>
        <v>UN</v>
      </c>
      <c r="D16" s="168">
        <v>80</v>
      </c>
      <c r="E16" s="79">
        <f>VLOOKUP(A16,Materiales3[],5,FALSE)*D16</f>
        <v>0.08</v>
      </c>
      <c r="F16" s="81">
        <f>VLOOKUP(A16,Materiales3[],6,FALSE)</f>
        <v>0</v>
      </c>
      <c r="G16" s="81">
        <f t="shared" si="0"/>
        <v>0</v>
      </c>
    </row>
    <row r="17" spans="1:7" ht="14.5">
      <c r="A17" s="167">
        <v>126</v>
      </c>
      <c r="B17" s="107" t="str">
        <f>VLOOKUP(A17,Materiales3[],3,FALSE)</f>
        <v>Caja PVC Octagonal</v>
      </c>
      <c r="C17" s="79" t="str">
        <f>VLOOKUP(A17,Materiales3[],4,FALSE)</f>
        <v>UN</v>
      </c>
      <c r="D17" s="168">
        <v>4</v>
      </c>
      <c r="E17" s="79">
        <f>VLOOKUP(A17,Materiales3[],5,FALSE)*D17</f>
        <v>0.2</v>
      </c>
      <c r="F17" s="81">
        <f>VLOOKUP(A17,Materiales3[],6,FALSE)</f>
        <v>0</v>
      </c>
      <c r="G17" s="81">
        <f t="shared" si="0"/>
        <v>0</v>
      </c>
    </row>
    <row r="18" spans="1:7" ht="14.5">
      <c r="A18" s="167">
        <v>81</v>
      </c>
      <c r="B18" s="107" t="str">
        <f>VLOOKUP(A18,Materiales3[],3,FALSE)</f>
        <v>Abrazadera metálica galvanizada doble ala 3/4"</v>
      </c>
      <c r="C18" s="79" t="str">
        <f>VLOOKUP(A18,Materiales3[],4,FALSE)</f>
        <v>UN</v>
      </c>
      <c r="D18" s="168">
        <v>40</v>
      </c>
      <c r="E18" s="79">
        <f>VLOOKUP(A18,Materiales3[],5,FALSE)*D18</f>
        <v>2</v>
      </c>
      <c r="F18" s="81">
        <f>VLOOKUP(A18,Materiales3[],6,FALSE)</f>
        <v>0</v>
      </c>
      <c r="G18" s="81">
        <f t="shared" si="0"/>
        <v>0</v>
      </c>
    </row>
    <row r="19" spans="1:7" ht="14.5">
      <c r="A19" s="167">
        <v>66</v>
      </c>
      <c r="B19" s="107" t="str">
        <f>VLOOKUP(A19,Materiales3[],3,FALSE)</f>
        <v>Caja PVC 2" x 4"</v>
      </c>
      <c r="C19" s="79" t="str">
        <f>VLOOKUP(A19,Materiales3[],4,FALSE)</f>
        <v>UN</v>
      </c>
      <c r="D19" s="168">
        <v>8</v>
      </c>
      <c r="E19" s="79">
        <f>VLOOKUP(A19,Materiales3[],5,FALSE)*D19</f>
        <v>0.08</v>
      </c>
      <c r="F19" s="81">
        <f>VLOOKUP(A19,Materiales3[],6,FALSE)</f>
        <v>0</v>
      </c>
      <c r="G19" s="81">
        <f t="shared" si="0"/>
        <v>0</v>
      </c>
    </row>
    <row r="20" spans="1:7" ht="14.5">
      <c r="A20" s="167">
        <v>65</v>
      </c>
      <c r="B20" s="107" t="str">
        <f>VLOOKUP(A20,Materiales3[],3,FALSE)</f>
        <v>Tomacorriente doble con polo a tierra</v>
      </c>
      <c r="C20" s="79" t="str">
        <f>VLOOKUP(A20,Materiales3[],4,FALSE)</f>
        <v>UN</v>
      </c>
      <c r="D20" s="168">
        <v>4</v>
      </c>
      <c r="E20" s="79">
        <f>VLOOKUP(A20,Materiales3[],5,FALSE)*D20</f>
        <v>0.04</v>
      </c>
      <c r="F20" s="81">
        <f>VLOOKUP(A20,Materiales3[],6,FALSE)</f>
        <v>0</v>
      </c>
      <c r="G20" s="81">
        <f t="shared" si="0"/>
        <v>0</v>
      </c>
    </row>
    <row r="21" spans="1:7" ht="14.5">
      <c r="A21" s="167">
        <v>133</v>
      </c>
      <c r="B21" s="107" t="str">
        <f>VLOOKUP(A21,Materiales3[],3,FALSE)</f>
        <v>Uniones, curvas y terminales IMC. Varios calibres</v>
      </c>
      <c r="C21" s="79" t="str">
        <f>VLOOKUP(A21,Materiales3[],4,FALSE)</f>
        <v>UN</v>
      </c>
      <c r="D21" s="168">
        <v>2</v>
      </c>
      <c r="E21" s="79">
        <f>VLOOKUP(A21,Materiales3[],5,FALSE)*D21</f>
        <v>0.36</v>
      </c>
      <c r="F21" s="81">
        <f>VLOOKUP(A21,Materiales3[],6,FALSE)</f>
        <v>0</v>
      </c>
      <c r="G21" s="81">
        <f t="shared" si="0"/>
        <v>0</v>
      </c>
    </row>
    <row r="22" spans="1:7" ht="14.5">
      <c r="A22" s="167">
        <v>405</v>
      </c>
      <c r="B22" s="107" t="str">
        <f>VLOOKUP(A22,Materiales3[],3,FALSE)</f>
        <v>Tubo conduit metalico EMT 3/4"</v>
      </c>
      <c r="C22" s="79" t="str">
        <f>VLOOKUP(A22,Materiales3[],4,FALSE)</f>
        <v>ML</v>
      </c>
      <c r="D22" s="168">
        <v>20</v>
      </c>
      <c r="E22" s="79">
        <f>VLOOKUP(A22,Materiales3[],5,FALSE)*D22</f>
        <v>13.799999999999999</v>
      </c>
      <c r="F22" s="81">
        <f>VLOOKUP(A22,Materiales3[],6,FALSE)</f>
        <v>0</v>
      </c>
      <c r="G22" s="81">
        <f t="shared" si="0"/>
        <v>0</v>
      </c>
    </row>
    <row r="23" spans="1:7" ht="14.5">
      <c r="A23" s="167">
        <v>406</v>
      </c>
      <c r="B23" s="107" t="str">
        <f>VLOOKUP(A23,Materiales3[],3,FALSE)</f>
        <v>Unión conduit metalica EMT 3/4"</v>
      </c>
      <c r="C23" s="79" t="str">
        <f>VLOOKUP(A23,Materiales3[],4,FALSE)</f>
        <v>UN</v>
      </c>
      <c r="D23" s="168">
        <v>8</v>
      </c>
      <c r="E23" s="79">
        <f>VLOOKUP(A23,Materiales3[],5,FALSE)*D23</f>
        <v>0.46400000000000002</v>
      </c>
      <c r="F23" s="81">
        <f>VLOOKUP(A23,Materiales3[],6,FALSE)</f>
        <v>0</v>
      </c>
      <c r="G23" s="81">
        <f t="shared" si="0"/>
        <v>0</v>
      </c>
    </row>
    <row r="24" spans="1:7" ht="14.5">
      <c r="A24" s="167">
        <v>407</v>
      </c>
      <c r="B24" s="107" t="str">
        <f>VLOOKUP(A24,Materiales3[],3,FALSE)</f>
        <v>Terminal conduit metalica EMT 3/4"</v>
      </c>
      <c r="C24" s="79" t="str">
        <f>VLOOKUP(A24,Materiales3[],4,FALSE)</f>
        <v>UN</v>
      </c>
      <c r="D24" s="168">
        <v>24</v>
      </c>
      <c r="E24" s="79">
        <f>VLOOKUP(A24,Materiales3[],5,FALSE)*D24</f>
        <v>1.3920000000000001</v>
      </c>
      <c r="F24" s="81">
        <f>VLOOKUP(A24,Materiales3[],6,FALSE)</f>
        <v>0</v>
      </c>
      <c r="G24" s="81">
        <f t="shared" si="0"/>
        <v>0</v>
      </c>
    </row>
    <row r="25" spans="1:7" ht="13">
      <c r="D25" s="86"/>
      <c r="E25" s="86"/>
      <c r="F25" s="99" t="s">
        <v>425</v>
      </c>
      <c r="G25" s="113">
        <f>SUM(G8:G24)</f>
        <v>0</v>
      </c>
    </row>
    <row r="26" spans="1:7">
      <c r="G26" s="111"/>
    </row>
    <row r="27" spans="1:7" ht="13">
      <c r="B27" s="89" t="s">
        <v>426</v>
      </c>
      <c r="G27" s="112"/>
    </row>
    <row r="28" spans="1:7" ht="13">
      <c r="A28" s="146" t="s">
        <v>137</v>
      </c>
      <c r="B28" s="76" t="s">
        <v>28</v>
      </c>
      <c r="C28" s="77" t="s">
        <v>436</v>
      </c>
      <c r="D28" s="77" t="s">
        <v>427</v>
      </c>
      <c r="E28" s="77"/>
      <c r="F28" s="77" t="s">
        <v>30</v>
      </c>
      <c r="G28" s="77" t="s">
        <v>270</v>
      </c>
    </row>
    <row r="29" spans="1:7" ht="14.5">
      <c r="A29" s="147">
        <v>1</v>
      </c>
      <c r="B29" s="82" t="str">
        <f>VLOOKUP(A29,Equipoyherramienta[],2,FALSE)</f>
        <v>Herramienta menor</v>
      </c>
      <c r="C29" s="83" t="str">
        <f>VLOOKUP(A29,Equipoyherramienta[],3,FALSE)</f>
        <v>UN</v>
      </c>
      <c r="D29" s="90">
        <f>VLOOKUP(A29,Equipoyherramienta[],4,FALSE)</f>
        <v>0</v>
      </c>
      <c r="E29" s="90"/>
      <c r="F29" s="109">
        <v>1</v>
      </c>
      <c r="G29" s="90">
        <f>ROUND(D29/F29,0)</f>
        <v>0</v>
      </c>
    </row>
    <row r="30" spans="1:7">
      <c r="B30" s="82"/>
      <c r="C30" s="83"/>
      <c r="D30" s="85"/>
      <c r="E30" s="85"/>
      <c r="F30" s="91"/>
      <c r="G30" s="92"/>
    </row>
    <row r="31" spans="1:7">
      <c r="B31" s="82"/>
      <c r="C31" s="83"/>
      <c r="D31" s="85"/>
      <c r="E31" s="85"/>
      <c r="F31" s="91"/>
      <c r="G31" s="92"/>
    </row>
    <row r="32" spans="1:7" ht="13">
      <c r="D32" s="86"/>
      <c r="E32" s="86"/>
      <c r="F32" s="87" t="s">
        <v>425</v>
      </c>
      <c r="G32" s="88">
        <f>SUM(G29:G31)</f>
        <v>0</v>
      </c>
    </row>
    <row r="33" spans="1:7" ht="13">
      <c r="D33" s="86"/>
      <c r="E33" s="86"/>
      <c r="F33" s="86"/>
      <c r="G33" s="93"/>
    </row>
    <row r="34" spans="1:7" ht="13">
      <c r="B34" s="75" t="s">
        <v>428</v>
      </c>
      <c r="G34" s="94"/>
    </row>
    <row r="35" spans="1:7" ht="13">
      <c r="A35" s="146" t="s">
        <v>137</v>
      </c>
      <c r="B35" s="76" t="s">
        <v>28</v>
      </c>
      <c r="C35" s="77" t="s">
        <v>268</v>
      </c>
      <c r="D35" s="77" t="s">
        <v>352</v>
      </c>
      <c r="E35" s="77"/>
      <c r="F35" s="77" t="s">
        <v>437</v>
      </c>
      <c r="G35" s="95" t="s">
        <v>270</v>
      </c>
    </row>
    <row r="36" spans="1:7" ht="26.5" customHeight="1">
      <c r="A36" s="147">
        <v>6</v>
      </c>
      <c r="B36" s="96" t="str">
        <f>VLOOKUP(A36,Transp.[],2,FALSE)</f>
        <v>Carga terrestre desde Barranquilla hasta Usuario, incluye cargues, descargues, cruces de río, transporte semoviente, transporte en vehículo de carga pesada y cualquier otro tranposte.</v>
      </c>
      <c r="C36" s="79" t="s">
        <v>438</v>
      </c>
      <c r="D36" s="80">
        <f>SUM(E8:E24)</f>
        <v>23.354799999999997</v>
      </c>
      <c r="E36" s="80"/>
      <c r="F36" s="97">
        <f>VLOOKUP(A36,Transp.[],6,FALSE)</f>
        <v>0</v>
      </c>
      <c r="G36" s="97">
        <f>D36*F36</f>
        <v>0</v>
      </c>
    </row>
    <row r="37" spans="1:7" ht="13.15" customHeight="1">
      <c r="A37" s="147"/>
      <c r="B37" s="96"/>
      <c r="C37" s="79"/>
      <c r="D37" s="80"/>
      <c r="E37" s="80"/>
      <c r="F37" s="97"/>
      <c r="G37" s="97"/>
    </row>
    <row r="38" spans="1:7" ht="13.15" customHeight="1">
      <c r="A38" s="147"/>
      <c r="B38" s="96"/>
      <c r="C38" s="79"/>
      <c r="D38" s="80"/>
      <c r="E38" s="80"/>
      <c r="F38" s="97"/>
      <c r="G38" s="97"/>
    </row>
    <row r="39" spans="1:7" ht="13">
      <c r="D39" s="86"/>
      <c r="E39" s="86"/>
      <c r="F39" s="99" t="s">
        <v>425</v>
      </c>
      <c r="G39" s="88">
        <f>SUM(G36:G38)</f>
        <v>0</v>
      </c>
    </row>
    <row r="41" spans="1:7" ht="13">
      <c r="B41" s="75" t="s">
        <v>432</v>
      </c>
      <c r="D41" s="100"/>
      <c r="E41" s="100"/>
      <c r="F41" s="101"/>
      <c r="G41" s="94"/>
    </row>
    <row r="42" spans="1:7" s="86" customFormat="1" ht="13">
      <c r="A42" s="146" t="s">
        <v>137</v>
      </c>
      <c r="B42" s="77" t="s">
        <v>28</v>
      </c>
      <c r="C42" s="77" t="s">
        <v>433</v>
      </c>
      <c r="D42" s="77" t="s">
        <v>434</v>
      </c>
      <c r="E42" s="77"/>
      <c r="F42" s="77" t="s">
        <v>30</v>
      </c>
      <c r="G42" s="95" t="s">
        <v>270</v>
      </c>
    </row>
    <row r="43" spans="1:7" ht="14.5">
      <c r="A43" s="147">
        <v>1</v>
      </c>
      <c r="B43" s="102" t="str">
        <f>VLOOKUP(A43,ManoObra[],2,FALSE)</f>
        <v>Electricista</v>
      </c>
      <c r="C43" s="103" t="e">
        <f>VLOOKUP(A43,ManoObra[],8,FALSE)</f>
        <v>#DIV/0!</v>
      </c>
      <c r="D43" s="91">
        <f>+FP!E27</f>
        <v>0</v>
      </c>
      <c r="E43" s="91"/>
      <c r="F43" s="109">
        <f>F29</f>
        <v>1</v>
      </c>
      <c r="G43" s="90" t="e">
        <f>ROUND(C43*D43/F43,0)</f>
        <v>#DIV/0!</v>
      </c>
    </row>
    <row r="44" spans="1:7" ht="14.5">
      <c r="A44" s="147">
        <v>2</v>
      </c>
      <c r="B44" s="102" t="str">
        <f>VLOOKUP(A44,ManoObra[],2,FALSE)</f>
        <v>Ayudante</v>
      </c>
      <c r="C44" s="103" t="e">
        <f>VLOOKUP(A44,ManoObra[],8,FALSE)</f>
        <v>#DIV/0!</v>
      </c>
      <c r="D44" s="91">
        <f>+FP!E27</f>
        <v>0</v>
      </c>
      <c r="E44" s="91"/>
      <c r="F44" s="109">
        <f>F29</f>
        <v>1</v>
      </c>
      <c r="G44" s="90" t="e">
        <f>ROUND(C44*D44/F44,0)</f>
        <v>#DIV/0!</v>
      </c>
    </row>
    <row r="45" spans="1:7" ht="14.5">
      <c r="A45" s="147"/>
      <c r="B45" s="108"/>
      <c r="C45" s="103"/>
      <c r="D45" s="91"/>
      <c r="E45" s="91"/>
      <c r="F45" s="84"/>
      <c r="G45" s="90"/>
    </row>
    <row r="46" spans="1:7" ht="13">
      <c r="D46" s="86"/>
      <c r="E46" s="86"/>
      <c r="F46" s="99" t="s">
        <v>425</v>
      </c>
      <c r="G46" s="113" t="e">
        <f>SUM(G43:G45)</f>
        <v>#DIV/0!</v>
      </c>
    </row>
    <row r="47" spans="1:7" ht="13">
      <c r="D47" s="86"/>
      <c r="E47" s="86"/>
      <c r="G47" s="94"/>
    </row>
    <row r="48" spans="1:7" ht="12.75" customHeight="1">
      <c r="B48" s="86"/>
      <c r="D48" s="563" t="s">
        <v>435</v>
      </c>
      <c r="E48" s="565"/>
      <c r="F48" s="564"/>
      <c r="G48" s="104" t="e">
        <f>G25+G32+G39+G46</f>
        <v>#DIV/0!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3861-7BD3-4428-B02C-2455B8FBE775}">
  <sheetPr>
    <tabColor theme="4" tint="0.59999389629810485"/>
  </sheetPr>
  <dimension ref="A2:E31"/>
  <sheetViews>
    <sheetView showGridLines="0" view="pageBreakPreview" zoomScale="80" zoomScaleNormal="120" zoomScaleSheetLayoutView="80" workbookViewId="0">
      <selection activeCell="B31" sqref="B31"/>
    </sheetView>
  </sheetViews>
  <sheetFormatPr baseColWidth="10" defaultColWidth="11.453125" defaultRowHeight="12.5"/>
  <cols>
    <col min="4" max="4" width="14.453125" customWidth="1"/>
  </cols>
  <sheetData>
    <row r="2" spans="1:5" ht="13">
      <c r="A2" s="473" t="s">
        <v>235</v>
      </c>
      <c r="B2" s="474"/>
      <c r="C2" s="474"/>
      <c r="D2" s="474"/>
      <c r="E2" s="475"/>
    </row>
    <row r="3" spans="1:5" ht="13">
      <c r="A3" s="476" t="s">
        <v>236</v>
      </c>
      <c r="B3" s="477"/>
      <c r="C3" s="477"/>
      <c r="D3" s="477"/>
      <c r="E3" s="478"/>
    </row>
    <row r="4" spans="1:5">
      <c r="A4" s="114" t="s">
        <v>237</v>
      </c>
      <c r="B4" s="115"/>
      <c r="C4" s="115"/>
      <c r="D4" s="115"/>
      <c r="E4" s="116"/>
    </row>
    <row r="5" spans="1:5">
      <c r="A5" s="114" t="s">
        <v>238</v>
      </c>
      <c r="B5" s="115"/>
      <c r="C5" s="115"/>
      <c r="D5" s="115"/>
      <c r="E5" s="116"/>
    </row>
    <row r="6" spans="1:5" ht="13">
      <c r="A6" s="476" t="s">
        <v>239</v>
      </c>
      <c r="B6" s="477"/>
      <c r="C6" s="477"/>
      <c r="D6" s="477"/>
      <c r="E6" s="478"/>
    </row>
    <row r="7" spans="1:5">
      <c r="A7" s="117" t="s">
        <v>240</v>
      </c>
      <c r="B7" s="115"/>
      <c r="C7" s="115"/>
      <c r="D7" s="115"/>
      <c r="E7" s="116"/>
    </row>
    <row r="8" spans="1:5">
      <c r="A8" s="117" t="s">
        <v>241</v>
      </c>
      <c r="B8" s="115"/>
      <c r="C8" s="115"/>
      <c r="D8" s="115"/>
      <c r="E8" s="116"/>
    </row>
    <row r="9" spans="1:5">
      <c r="A9" s="117" t="s">
        <v>242</v>
      </c>
      <c r="B9" s="115"/>
      <c r="C9" s="115"/>
      <c r="D9" s="115"/>
      <c r="E9" s="116"/>
    </row>
    <row r="10" spans="1:5">
      <c r="A10" s="117" t="s">
        <v>243</v>
      </c>
      <c r="B10" s="115"/>
      <c r="C10" s="115"/>
      <c r="D10" s="115"/>
      <c r="E10" s="116"/>
    </row>
    <row r="11" spans="1:5" ht="13">
      <c r="A11" s="118" t="s">
        <v>244</v>
      </c>
      <c r="B11" s="119"/>
      <c r="C11" s="119"/>
      <c r="D11" s="119"/>
      <c r="E11" s="120"/>
    </row>
    <row r="12" spans="1:5">
      <c r="A12" s="114" t="s">
        <v>245</v>
      </c>
      <c r="B12" s="115"/>
      <c r="C12" s="115"/>
      <c r="D12" s="115"/>
      <c r="E12" s="116"/>
    </row>
    <row r="13" spans="1:5">
      <c r="A13" s="114" t="s">
        <v>246</v>
      </c>
      <c r="B13" s="115"/>
      <c r="C13" s="115"/>
      <c r="D13" s="115"/>
      <c r="E13" s="116"/>
    </row>
    <row r="14" spans="1:5">
      <c r="A14" s="114" t="s">
        <v>247</v>
      </c>
      <c r="B14" s="115"/>
      <c r="C14" s="115"/>
      <c r="D14" s="115"/>
      <c r="E14" s="116"/>
    </row>
    <row r="15" spans="1:5">
      <c r="A15" s="114" t="s">
        <v>248</v>
      </c>
      <c r="B15" s="115"/>
      <c r="C15" s="115"/>
      <c r="D15" s="115"/>
      <c r="E15" s="116"/>
    </row>
    <row r="16" spans="1:5">
      <c r="A16" s="117" t="s">
        <v>249</v>
      </c>
      <c r="B16" s="115"/>
      <c r="C16" s="115"/>
      <c r="D16" s="115"/>
      <c r="E16" s="116"/>
    </row>
    <row r="17" spans="1:5" ht="13">
      <c r="A17" s="118" t="s">
        <v>250</v>
      </c>
      <c r="B17" s="121"/>
      <c r="C17" s="121"/>
      <c r="D17" s="121"/>
      <c r="E17" s="122"/>
    </row>
    <row r="18" spans="1:5">
      <c r="A18" s="117" t="s">
        <v>251</v>
      </c>
      <c r="B18" s="115"/>
      <c r="C18" s="115"/>
      <c r="D18" s="115"/>
      <c r="E18" s="116"/>
    </row>
    <row r="19" spans="1:5">
      <c r="A19" s="114" t="s">
        <v>252</v>
      </c>
      <c r="B19" s="115"/>
      <c r="C19" s="115"/>
      <c r="D19" s="115"/>
      <c r="E19" s="116"/>
    </row>
    <row r="20" spans="1:5">
      <c r="A20" s="117" t="s">
        <v>253</v>
      </c>
      <c r="B20" s="115"/>
      <c r="C20" s="115"/>
      <c r="D20" s="115"/>
      <c r="E20" s="116"/>
    </row>
    <row r="21" spans="1:5" ht="13">
      <c r="A21" s="118" t="s">
        <v>254</v>
      </c>
      <c r="B21" s="121"/>
      <c r="C21" s="121"/>
      <c r="D21" s="121"/>
      <c r="E21" s="122"/>
    </row>
    <row r="22" spans="1:5">
      <c r="A22" s="114" t="s">
        <v>255</v>
      </c>
      <c r="B22" s="115"/>
      <c r="C22" s="115"/>
      <c r="D22" s="115"/>
      <c r="E22" s="116"/>
    </row>
    <row r="23" spans="1:5">
      <c r="A23" s="114" t="s">
        <v>256</v>
      </c>
      <c r="B23" s="115"/>
      <c r="C23" s="115"/>
      <c r="D23" s="115"/>
      <c r="E23" s="116"/>
    </row>
    <row r="24" spans="1:5">
      <c r="A24" s="114" t="s">
        <v>257</v>
      </c>
      <c r="B24" s="115"/>
      <c r="C24" s="115"/>
      <c r="D24" s="115"/>
      <c r="E24" s="116"/>
    </row>
    <row r="25" spans="1:5">
      <c r="A25" s="114" t="s">
        <v>258</v>
      </c>
      <c r="B25" s="115"/>
      <c r="C25" s="115"/>
      <c r="D25" s="115"/>
      <c r="E25" s="116"/>
    </row>
    <row r="26" spans="1:5">
      <c r="A26" s="114" t="s">
        <v>259</v>
      </c>
      <c r="B26" s="115"/>
      <c r="C26" s="115"/>
      <c r="D26" s="115"/>
      <c r="E26" s="116"/>
    </row>
    <row r="27" spans="1:5" ht="13">
      <c r="A27" s="123" t="s">
        <v>260</v>
      </c>
      <c r="B27" s="124"/>
      <c r="C27" s="124"/>
      <c r="D27" s="124"/>
      <c r="E27" s="125">
        <f>SUM(E22:E26)</f>
        <v>0</v>
      </c>
    </row>
    <row r="28" spans="1:5">
      <c r="B28" s="45"/>
      <c r="C28" s="45"/>
      <c r="D28" s="45"/>
      <c r="E28" s="45"/>
    </row>
    <row r="29" spans="1:5" ht="42" customHeight="1">
      <c r="B29" s="45"/>
      <c r="C29" s="45"/>
      <c r="D29" s="45"/>
      <c r="E29" s="45"/>
    </row>
    <row r="30" spans="1:5">
      <c r="A30" s="46"/>
      <c r="B30" s="307"/>
    </row>
    <row r="31" spans="1:5">
      <c r="B31" s="291"/>
    </row>
  </sheetData>
  <mergeCells count="3">
    <mergeCell ref="A2:E2"/>
    <mergeCell ref="A3:E3"/>
    <mergeCell ref="A6:E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BDF0-C32F-4BC9-8496-AE8D1067F11C}">
  <sheetPr>
    <tabColor theme="4" tint="0.59999389629810485"/>
    <pageSetUpPr fitToPage="1"/>
  </sheetPr>
  <dimension ref="A1:J52"/>
  <sheetViews>
    <sheetView view="pageBreakPreview" zoomScale="55" zoomScaleNormal="80" zoomScaleSheetLayoutView="55" workbookViewId="0">
      <selection activeCell="A26" sqref="A26:J26"/>
    </sheetView>
  </sheetViews>
  <sheetFormatPr baseColWidth="10" defaultColWidth="11.453125" defaultRowHeight="12.5"/>
  <cols>
    <col min="1" max="1" width="4.26953125" customWidth="1"/>
    <col min="2" max="2" width="34.7265625" customWidth="1"/>
    <col min="6" max="6" width="18.453125" customWidth="1"/>
  </cols>
  <sheetData>
    <row r="1" spans="1:10" ht="57" customHeight="1">
      <c r="A1" s="522" t="str">
        <f>+'PRES. SISFV'!A1</f>
        <v xml:space="preserve">IMPLEMENTACIÓN DE SOLUCIONES ENERGÉTICAS SOSTENIBLES CON FUENTES NO CONVENCIONALES, PARA LAS COMUNIDADES RURALES DEL MUNICIPIO DE PIVIJAY, DEPARTAMENTO MAGDALENA.                                                                                                                                                                                                                          </v>
      </c>
      <c r="B1" s="522"/>
      <c r="C1" s="522"/>
      <c r="D1" s="522"/>
      <c r="E1" s="522"/>
      <c r="F1" s="522"/>
      <c r="G1" s="522"/>
      <c r="H1" s="522"/>
      <c r="I1" s="522"/>
      <c r="J1" s="522"/>
    </row>
    <row r="2" spans="1:10" ht="13">
      <c r="A2" s="523" t="s">
        <v>335</v>
      </c>
      <c r="B2" s="523"/>
      <c r="C2" s="523"/>
      <c r="D2" s="523"/>
      <c r="E2" s="523"/>
      <c r="F2" s="523"/>
      <c r="G2" s="523"/>
      <c r="H2" s="523"/>
      <c r="I2" s="523"/>
      <c r="J2" s="523"/>
    </row>
    <row r="3" spans="1:10">
      <c r="C3" s="311"/>
      <c r="D3" s="311"/>
    </row>
    <row r="5" spans="1:10" ht="13">
      <c r="B5" s="312" t="s">
        <v>336</v>
      </c>
      <c r="C5" s="311"/>
      <c r="D5" s="311"/>
    </row>
    <row r="6" spans="1:10">
      <c r="C6" s="311"/>
      <c r="D6" s="311"/>
    </row>
    <row r="7" spans="1:10" ht="13">
      <c r="B7" s="313" t="s">
        <v>337</v>
      </c>
      <c r="C7" s="311"/>
      <c r="D7" s="311"/>
    </row>
    <row r="8" spans="1:10" ht="15">
      <c r="B8" s="315" t="s">
        <v>338</v>
      </c>
      <c r="C8" s="315" t="s">
        <v>339</v>
      </c>
      <c r="D8" s="315" t="s">
        <v>340</v>
      </c>
      <c r="E8" s="315" t="s">
        <v>22</v>
      </c>
    </row>
    <row r="9" spans="1:10" ht="13">
      <c r="B9" s="314">
        <v>0.65</v>
      </c>
      <c r="C9" s="321">
        <v>1.4</v>
      </c>
      <c r="D9" s="321">
        <f>PI()*(B9/2)^2*C9</f>
        <v>0.46456301364959063</v>
      </c>
      <c r="E9" s="321">
        <f>+ROUND(D9,2)</f>
        <v>0.46</v>
      </c>
    </row>
    <row r="10" spans="1:10" ht="13">
      <c r="C10" s="321"/>
      <c r="D10" s="321"/>
      <c r="E10" s="321"/>
    </row>
    <row r="11" spans="1:10" ht="13">
      <c r="B11" s="313" t="s">
        <v>341</v>
      </c>
      <c r="C11" s="321"/>
      <c r="D11" s="321"/>
      <c r="E11" s="321"/>
    </row>
    <row r="12" spans="1:10" ht="13">
      <c r="B12" s="314">
        <v>0.65</v>
      </c>
      <c r="C12" s="321">
        <v>0</v>
      </c>
      <c r="D12" s="321">
        <f>PI()*(B12/2)^2*C12</f>
        <v>0</v>
      </c>
      <c r="E12" s="321">
        <f>+ROUND(D12,2)</f>
        <v>0</v>
      </c>
    </row>
    <row r="13" spans="1:10" ht="13">
      <c r="C13" s="321"/>
      <c r="D13" s="321"/>
      <c r="E13" s="321"/>
    </row>
    <row r="14" spans="1:10" ht="13">
      <c r="B14" s="315" t="s">
        <v>342</v>
      </c>
      <c r="C14" s="321">
        <f>$E$12*G15</f>
        <v>0</v>
      </c>
      <c r="D14" s="321"/>
      <c r="E14" s="321"/>
      <c r="F14" s="520" t="s">
        <v>343</v>
      </c>
      <c r="G14" s="521"/>
    </row>
    <row r="15" spans="1:10" ht="14">
      <c r="B15" s="315" t="s">
        <v>344</v>
      </c>
      <c r="C15" s="321">
        <f t="shared" ref="C15:C17" si="0">$E$12*G16</f>
        <v>0</v>
      </c>
      <c r="D15" s="321"/>
      <c r="E15" s="321"/>
      <c r="F15" s="316" t="s">
        <v>342</v>
      </c>
      <c r="G15" s="317">
        <v>300</v>
      </c>
    </row>
    <row r="16" spans="1:10" ht="14">
      <c r="B16" s="315" t="s">
        <v>345</v>
      </c>
      <c r="C16" s="321">
        <f t="shared" si="0"/>
        <v>0</v>
      </c>
      <c r="D16" s="321"/>
      <c r="E16" s="321"/>
      <c r="F16" s="316" t="s">
        <v>344</v>
      </c>
      <c r="G16" s="317">
        <v>0.48</v>
      </c>
    </row>
    <row r="17" spans="2:7" ht="14">
      <c r="B17" s="315" t="s">
        <v>346</v>
      </c>
      <c r="C17" s="321">
        <f t="shared" si="0"/>
        <v>0</v>
      </c>
      <c r="D17" s="321"/>
      <c r="E17" s="321"/>
      <c r="F17" s="316" t="s">
        <v>345</v>
      </c>
      <c r="G17" s="317">
        <v>0.95</v>
      </c>
    </row>
    <row r="18" spans="2:7" ht="13">
      <c r="C18" s="321"/>
      <c r="D18" s="321"/>
      <c r="E18" s="321"/>
      <c r="F18" s="318" t="s">
        <v>346</v>
      </c>
      <c r="G18" s="319">
        <v>170</v>
      </c>
    </row>
    <row r="19" spans="2:7" ht="13">
      <c r="B19" s="313" t="s">
        <v>347</v>
      </c>
      <c r="C19" s="321"/>
      <c r="D19" s="321"/>
      <c r="E19" s="321"/>
    </row>
    <row r="20" spans="2:7" ht="15">
      <c r="B20" s="315" t="s">
        <v>338</v>
      </c>
      <c r="C20" s="315" t="s">
        <v>339</v>
      </c>
      <c r="D20" s="315" t="s">
        <v>340</v>
      </c>
      <c r="E20" s="315" t="s">
        <v>22</v>
      </c>
    </row>
    <row r="21" spans="2:7" ht="13">
      <c r="B21" s="314">
        <v>0.65</v>
      </c>
      <c r="C21" s="321">
        <v>1.5</v>
      </c>
      <c r="D21" s="321">
        <f>PI()*(B21/2)^2*C21</f>
        <v>0.49774608605313286</v>
      </c>
      <c r="E21" s="321">
        <f t="shared" ref="E21:E22" si="1">+ROUND(D21,2)</f>
        <v>0.5</v>
      </c>
    </row>
    <row r="22" spans="2:7" ht="13">
      <c r="B22" s="314">
        <v>0.21</v>
      </c>
      <c r="C22" s="321">
        <v>-1.1000000000000001</v>
      </c>
      <c r="D22" s="321">
        <f>PI()*(B22/2)^2*C22</f>
        <v>-3.8099664906410216E-2</v>
      </c>
      <c r="E22" s="321">
        <f t="shared" si="1"/>
        <v>-0.04</v>
      </c>
    </row>
    <row r="23" spans="2:7" ht="13">
      <c r="C23" s="321"/>
      <c r="D23" s="322" t="s">
        <v>348</v>
      </c>
      <c r="E23" s="321">
        <f>SUM(E21:E22)</f>
        <v>0.46</v>
      </c>
    </row>
    <row r="24" spans="2:7" ht="13">
      <c r="C24" s="321"/>
      <c r="D24" s="322"/>
      <c r="E24" s="321"/>
    </row>
    <row r="25" spans="2:7" ht="13">
      <c r="B25" s="315" t="s">
        <v>342</v>
      </c>
      <c r="C25" s="321">
        <f>$E$23*G26</f>
        <v>161</v>
      </c>
      <c r="D25" s="321"/>
      <c r="E25" s="321"/>
      <c r="F25" s="520" t="s">
        <v>349</v>
      </c>
      <c r="G25" s="521"/>
    </row>
    <row r="26" spans="2:7" ht="14">
      <c r="B26" s="315" t="s">
        <v>344</v>
      </c>
      <c r="C26" s="321">
        <f t="shared" ref="C26:C28" si="2">$E$23*G27</f>
        <v>0.25760000000000005</v>
      </c>
      <c r="D26" s="321"/>
      <c r="E26" s="321"/>
      <c r="F26" s="316" t="s">
        <v>342</v>
      </c>
      <c r="G26" s="317">
        <v>350</v>
      </c>
    </row>
    <row r="27" spans="2:7" ht="14">
      <c r="B27" s="315" t="s">
        <v>345</v>
      </c>
      <c r="C27" s="321">
        <f t="shared" si="2"/>
        <v>0.38640000000000002</v>
      </c>
      <c r="D27" s="321"/>
      <c r="E27" s="321"/>
      <c r="F27" s="316" t="s">
        <v>344</v>
      </c>
      <c r="G27" s="317">
        <v>0.56000000000000005</v>
      </c>
    </row>
    <row r="28" spans="2:7" ht="14">
      <c r="B28" s="315" t="s">
        <v>346</v>
      </c>
      <c r="C28" s="321">
        <f t="shared" si="2"/>
        <v>115</v>
      </c>
      <c r="D28" s="321"/>
      <c r="E28" s="321"/>
      <c r="F28" s="316" t="s">
        <v>345</v>
      </c>
      <c r="G28" s="317">
        <v>0.84</v>
      </c>
    </row>
    <row r="29" spans="2:7" ht="13">
      <c r="C29" s="321"/>
      <c r="D29" s="321"/>
      <c r="E29" s="321"/>
      <c r="F29" s="318" t="s">
        <v>346</v>
      </c>
      <c r="G29" s="319">
        <v>250</v>
      </c>
    </row>
    <row r="30" spans="2:7">
      <c r="C30" s="311"/>
      <c r="D30" s="311"/>
    </row>
    <row r="31" spans="2:7" ht="13">
      <c r="B31" s="313" t="s">
        <v>350</v>
      </c>
      <c r="C31" s="311"/>
      <c r="D31" s="311"/>
    </row>
    <row r="32" spans="2:7" ht="13">
      <c r="C32" t="s">
        <v>351</v>
      </c>
      <c r="D32" s="315" t="s">
        <v>338</v>
      </c>
      <c r="E32" s="315" t="s">
        <v>339</v>
      </c>
      <c r="F32" s="315" t="s">
        <v>352</v>
      </c>
      <c r="G32" s="315" t="s">
        <v>22</v>
      </c>
    </row>
    <row r="33" spans="2:7" ht="13">
      <c r="B33" s="26" t="s">
        <v>353</v>
      </c>
      <c r="C33" s="321">
        <v>0.38</v>
      </c>
      <c r="D33" s="321">
        <f>ROUND(2*PI()*(C33/2)+0.2,2)</f>
        <v>1.39</v>
      </c>
      <c r="E33" s="321">
        <f>C21-0.075-0.05</f>
        <v>1.375</v>
      </c>
      <c r="F33" s="324">
        <f>29.26/2.35/6</f>
        <v>2.075177304964539</v>
      </c>
      <c r="G33">
        <f>ROUND(D33*E33*F33,2)</f>
        <v>3.97</v>
      </c>
    </row>
    <row r="34" spans="2:7" ht="13">
      <c r="B34" s="26"/>
      <c r="C34" s="321" t="s">
        <v>354</v>
      </c>
      <c r="D34" s="321">
        <f>+D33*E33</f>
        <v>1.9112499999999999</v>
      </c>
      <c r="E34" s="321"/>
      <c r="F34" s="324"/>
    </row>
    <row r="35" spans="2:7" ht="13">
      <c r="B35" s="315"/>
      <c r="C35" s="314"/>
      <c r="D35" s="314"/>
    </row>
    <row r="36" spans="2:7" ht="13">
      <c r="B36" s="313" t="s">
        <v>355</v>
      </c>
      <c r="C36" s="314"/>
      <c r="D36" s="314"/>
    </row>
    <row r="37" spans="2:7" ht="13">
      <c r="B37" s="315" t="s">
        <v>342</v>
      </c>
      <c r="C37" s="314">
        <f>+C14+C25</f>
        <v>161</v>
      </c>
      <c r="D37" s="314"/>
    </row>
    <row r="38" spans="2:7" ht="14">
      <c r="B38" s="315" t="s">
        <v>344</v>
      </c>
      <c r="C38" s="314">
        <f>+C15+C26</f>
        <v>0.25760000000000005</v>
      </c>
      <c r="D38" s="314"/>
    </row>
    <row r="39" spans="2:7" ht="14">
      <c r="B39" s="315" t="s">
        <v>345</v>
      </c>
      <c r="C39" s="314">
        <f>+C16+C27</f>
        <v>0.38640000000000002</v>
      </c>
      <c r="D39" s="314"/>
    </row>
    <row r="40" spans="2:7" ht="13">
      <c r="B40" s="315" t="s">
        <v>346</v>
      </c>
      <c r="C40" s="314">
        <f>+C17+C28</f>
        <v>115</v>
      </c>
      <c r="D40" s="314"/>
    </row>
    <row r="41" spans="2:7" ht="13">
      <c r="B41" s="315"/>
      <c r="C41" s="314"/>
      <c r="D41" s="314"/>
    </row>
    <row r="42" spans="2:7" ht="13">
      <c r="B42" s="313" t="s">
        <v>356</v>
      </c>
      <c r="C42" s="314"/>
      <c r="D42" s="314"/>
    </row>
    <row r="43" spans="2:7" ht="13">
      <c r="B43" s="315"/>
      <c r="C43" s="315" t="s">
        <v>357</v>
      </c>
      <c r="D43" s="315" t="s">
        <v>57</v>
      </c>
      <c r="E43" s="315" t="s">
        <v>352</v>
      </c>
      <c r="F43" s="315" t="s">
        <v>22</v>
      </c>
    </row>
    <row r="44" spans="2:7" ht="27.65" customHeight="1">
      <c r="B44" s="1" t="s">
        <v>358</v>
      </c>
      <c r="C44">
        <v>4</v>
      </c>
      <c r="D44" s="320">
        <v>2</v>
      </c>
      <c r="E44" s="311">
        <v>4.75</v>
      </c>
      <c r="F44">
        <f t="shared" ref="F44:F50" si="3">+C44*D44*E44</f>
        <v>38</v>
      </c>
    </row>
    <row r="45" spans="2:7" ht="25">
      <c r="B45" s="1" t="s">
        <v>359</v>
      </c>
      <c r="C45">
        <v>1.45</v>
      </c>
      <c r="D45" s="320">
        <v>2</v>
      </c>
      <c r="E45" s="311">
        <v>1.83</v>
      </c>
      <c r="F45">
        <f t="shared" si="3"/>
        <v>5.3070000000000004</v>
      </c>
    </row>
    <row r="46" spans="2:7" ht="28.15" customHeight="1">
      <c r="B46" s="1" t="s">
        <v>360</v>
      </c>
      <c r="C46">
        <v>1.45</v>
      </c>
      <c r="D46" s="320">
        <v>4</v>
      </c>
      <c r="E46" s="311">
        <v>4.6100000000000003</v>
      </c>
      <c r="F46">
        <f t="shared" si="3"/>
        <v>26.738</v>
      </c>
    </row>
    <row r="47" spans="2:7" ht="25">
      <c r="B47" s="1" t="s">
        <v>361</v>
      </c>
      <c r="C47">
        <f>0.64*2+0.28*2</f>
        <v>1.84</v>
      </c>
      <c r="D47" s="320">
        <v>2</v>
      </c>
      <c r="E47" s="311">
        <v>4.6100000000000003</v>
      </c>
      <c r="F47">
        <f t="shared" ref="F47" si="4">+C47*D47*E47</f>
        <v>16.9648</v>
      </c>
    </row>
    <row r="48" spans="2:7" ht="25">
      <c r="B48" s="1" t="s">
        <v>362</v>
      </c>
      <c r="C48">
        <f>4*0.2*0.05</f>
        <v>4.0000000000000008E-2</v>
      </c>
      <c r="D48" s="380">
        <f>0.25*0.0254</f>
        <v>6.3499999999999997E-3</v>
      </c>
      <c r="E48" s="311">
        <v>7850</v>
      </c>
      <c r="F48">
        <f t="shared" si="3"/>
        <v>1.9939000000000004</v>
      </c>
    </row>
    <row r="49" spans="2:6" ht="25">
      <c r="B49" s="1" t="s">
        <v>363</v>
      </c>
      <c r="C49">
        <f>0.3*0.3</f>
        <v>0.09</v>
      </c>
      <c r="D49" s="320">
        <v>9.5300000000000003E-3</v>
      </c>
      <c r="E49" s="311">
        <v>7850</v>
      </c>
      <c r="F49">
        <f t="shared" si="3"/>
        <v>6.732945</v>
      </c>
    </row>
    <row r="50" spans="2:6" ht="25">
      <c r="B50" s="1" t="s">
        <v>364</v>
      </c>
      <c r="C50">
        <f>8*0.0254</f>
        <v>0.20319999999999999</v>
      </c>
      <c r="D50" s="320">
        <v>2</v>
      </c>
      <c r="E50" s="311">
        <v>0.55600000000000005</v>
      </c>
      <c r="F50">
        <f t="shared" si="3"/>
        <v>0.2259584</v>
      </c>
    </row>
    <row r="51" spans="2:6" ht="25">
      <c r="B51" s="1" t="s">
        <v>365</v>
      </c>
      <c r="C51">
        <f>(1.5)*0.0254</f>
        <v>3.8099999999999995E-2</v>
      </c>
      <c r="D51" s="320">
        <v>4</v>
      </c>
      <c r="E51" s="311">
        <v>0.99399999999999999</v>
      </c>
      <c r="F51">
        <f t="shared" ref="F51" si="5">+C51*D51*E51</f>
        <v>0.15148559999999997</v>
      </c>
    </row>
    <row r="52" spans="2:6" ht="13">
      <c r="B52" s="1"/>
      <c r="D52" s="320"/>
      <c r="E52" s="26" t="s">
        <v>348</v>
      </c>
      <c r="F52" s="325">
        <f>+ROUND(SUM(F44:F51),2)</f>
        <v>96.11</v>
      </c>
    </row>
  </sheetData>
  <mergeCells count="4">
    <mergeCell ref="F25:G25"/>
    <mergeCell ref="A1:J1"/>
    <mergeCell ref="A2:J2"/>
    <mergeCell ref="F14:G14"/>
  </mergeCells>
  <phoneticPr fontId="28" type="noConversion"/>
  <pageMargins left="0.70866141732283472" right="0.70866141732283472" top="0.74803149606299213" bottom="0.74803149606299213" header="0.31496062992125984" footer="0.31496062992125984"/>
  <pageSetup scale="6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2772-176C-45AE-B6CD-DF3304E80C69}">
  <sheetPr>
    <tabColor theme="6" tint="0.59999389629810485"/>
    <pageSetUpPr fitToPage="1"/>
  </sheetPr>
  <dimension ref="A1:H414"/>
  <sheetViews>
    <sheetView view="pageBreakPreview" zoomScale="55" zoomScaleNormal="60" zoomScaleSheetLayoutView="55" workbookViewId="0">
      <selection activeCell="N225" sqref="N225"/>
    </sheetView>
  </sheetViews>
  <sheetFormatPr baseColWidth="10" defaultColWidth="11.453125" defaultRowHeight="14"/>
  <cols>
    <col min="1" max="1" width="16.26953125" style="126" bestFit="1" customWidth="1"/>
    <col min="2" max="2" width="38.453125" style="126" bestFit="1" customWidth="1"/>
    <col min="3" max="3" width="79.81640625" style="126" customWidth="1"/>
    <col min="4" max="4" width="13.1796875" style="126" customWidth="1"/>
    <col min="5" max="5" width="13.81640625" style="126" customWidth="1"/>
    <col min="6" max="6" width="22.81640625" style="126" bestFit="1" customWidth="1"/>
    <col min="7" max="7" width="23.26953125" style="126" bestFit="1" customWidth="1"/>
    <col min="8" max="8" width="28.1796875" style="127" bestFit="1" customWidth="1"/>
    <col min="9" max="16384" width="11.453125" style="126"/>
  </cols>
  <sheetData>
    <row r="1" spans="1:8" ht="41.5" customHeight="1">
      <c r="A1" s="571" t="str">
        <f>+'PRES. SISFV'!A1</f>
        <v xml:space="preserve">IMPLEMENTACIÓN DE SOLUCIONES ENERGÉTICAS SOSTENIBLES CON FUENTES NO CONVENCIONALES, PARA LAS COMUNIDADES RURALES DEL MUNICIPIO DE PIVIJAY, DEPARTAMENTO MAGDALENA.                                                                                                                                                                                                                          </v>
      </c>
      <c r="B1" s="571"/>
      <c r="C1" s="571"/>
      <c r="D1" s="571"/>
      <c r="E1" s="571"/>
      <c r="F1" s="571"/>
      <c r="G1" s="571"/>
      <c r="H1" s="571"/>
    </row>
    <row r="3" spans="1:8" s="128" customFormat="1">
      <c r="A3" s="572" t="s">
        <v>449</v>
      </c>
      <c r="B3" s="572"/>
      <c r="C3" s="572"/>
      <c r="D3" s="572"/>
      <c r="E3" s="572"/>
      <c r="F3" s="572"/>
      <c r="G3" s="572"/>
      <c r="H3" s="572"/>
    </row>
    <row r="4" spans="1:8">
      <c r="A4" s="129" t="s">
        <v>450</v>
      </c>
      <c r="B4" s="129" t="s">
        <v>451</v>
      </c>
      <c r="C4" s="129" t="s">
        <v>452</v>
      </c>
      <c r="D4" s="129" t="s">
        <v>268</v>
      </c>
      <c r="E4" s="129" t="s">
        <v>453</v>
      </c>
      <c r="F4" s="129" t="s">
        <v>454</v>
      </c>
      <c r="G4" s="129" t="s">
        <v>455</v>
      </c>
      <c r="H4" s="130" t="s">
        <v>456</v>
      </c>
    </row>
    <row r="5" spans="1:8" s="136" customFormat="1">
      <c r="A5" s="131">
        <v>1</v>
      </c>
      <c r="B5" s="131" t="s">
        <v>457</v>
      </c>
      <c r="C5" s="132" t="s">
        <v>458</v>
      </c>
      <c r="D5" s="131" t="s">
        <v>101</v>
      </c>
      <c r="E5" s="131">
        <v>28.9</v>
      </c>
      <c r="F5" s="133"/>
      <c r="G5" s="134"/>
      <c r="H5" s="135"/>
    </row>
    <row r="6" spans="1:8" s="136" customFormat="1">
      <c r="A6" s="131">
        <v>2</v>
      </c>
      <c r="B6" s="131" t="s">
        <v>459</v>
      </c>
      <c r="C6" s="131" t="s">
        <v>460</v>
      </c>
      <c r="D6" s="137" t="s">
        <v>461</v>
      </c>
      <c r="E6" s="131">
        <v>5.8200000000000002E-2</v>
      </c>
      <c r="F6" s="133"/>
      <c r="G6" s="134"/>
      <c r="H6" s="135"/>
    </row>
    <row r="7" spans="1:8" s="136" customFormat="1">
      <c r="A7" s="148">
        <v>3</v>
      </c>
      <c r="B7" s="148" t="s">
        <v>459</v>
      </c>
      <c r="C7" s="148" t="s">
        <v>462</v>
      </c>
      <c r="D7" s="336" t="s">
        <v>101</v>
      </c>
      <c r="E7" s="148">
        <v>0.1</v>
      </c>
      <c r="F7" s="338"/>
      <c r="G7" s="149"/>
      <c r="H7" s="339"/>
    </row>
    <row r="8" spans="1:8" s="136" customFormat="1" ht="13.15" customHeight="1">
      <c r="A8" s="148">
        <v>4</v>
      </c>
      <c r="B8" s="148" t="s">
        <v>459</v>
      </c>
      <c r="C8" s="148" t="s">
        <v>463</v>
      </c>
      <c r="D8" s="336" t="s">
        <v>461</v>
      </c>
      <c r="E8" s="148">
        <v>0.18</v>
      </c>
      <c r="F8" s="338"/>
      <c r="G8" s="149"/>
      <c r="H8" s="339"/>
    </row>
    <row r="9" spans="1:8" s="136" customFormat="1" ht="13.15" customHeight="1">
      <c r="A9" s="148">
        <v>5</v>
      </c>
      <c r="B9" s="148" t="s">
        <v>464</v>
      </c>
      <c r="C9" s="148" t="s">
        <v>465</v>
      </c>
      <c r="D9" s="336" t="s">
        <v>461</v>
      </c>
      <c r="E9" s="148">
        <v>0.55000000000000004</v>
      </c>
      <c r="F9" s="338"/>
      <c r="G9" s="149"/>
      <c r="H9" s="339"/>
    </row>
    <row r="10" spans="1:8" s="136" customFormat="1">
      <c r="A10" s="148">
        <v>6</v>
      </c>
      <c r="B10" s="148" t="s">
        <v>464</v>
      </c>
      <c r="C10" s="148" t="s">
        <v>466</v>
      </c>
      <c r="D10" s="336" t="s">
        <v>101</v>
      </c>
      <c r="E10" s="148">
        <v>0.14000000000000001</v>
      </c>
      <c r="F10" s="338"/>
      <c r="G10" s="149"/>
      <c r="H10" s="339"/>
    </row>
    <row r="11" spans="1:8" s="136" customFormat="1">
      <c r="A11" s="148">
        <v>7</v>
      </c>
      <c r="B11" s="148" t="s">
        <v>464</v>
      </c>
      <c r="C11" s="148" t="s">
        <v>467</v>
      </c>
      <c r="D11" s="336" t="s">
        <v>101</v>
      </c>
      <c r="E11" s="148">
        <v>0.1</v>
      </c>
      <c r="F11" s="338"/>
      <c r="G11" s="149"/>
      <c r="H11" s="339"/>
    </row>
    <row r="12" spans="1:8" s="136" customFormat="1" ht="28">
      <c r="A12" s="148">
        <v>8</v>
      </c>
      <c r="B12" s="148" t="s">
        <v>468</v>
      </c>
      <c r="C12" s="164" t="s">
        <v>469</v>
      </c>
      <c r="D12" s="148" t="s">
        <v>101</v>
      </c>
      <c r="E12" s="148">
        <v>13</v>
      </c>
      <c r="F12" s="338"/>
      <c r="G12" s="149"/>
      <c r="H12" s="339"/>
    </row>
    <row r="13" spans="1:8" s="136" customFormat="1">
      <c r="A13" s="148">
        <v>9</v>
      </c>
      <c r="B13" s="148" t="s">
        <v>470</v>
      </c>
      <c r="C13" s="148" t="s">
        <v>471</v>
      </c>
      <c r="D13" s="336" t="s">
        <v>101</v>
      </c>
      <c r="E13" s="148">
        <v>1.2</v>
      </c>
      <c r="F13" s="338"/>
      <c r="G13" s="149"/>
      <c r="H13" s="339"/>
    </row>
    <row r="14" spans="1:8" s="136" customFormat="1">
      <c r="A14" s="148">
        <v>10</v>
      </c>
      <c r="B14" s="148" t="s">
        <v>472</v>
      </c>
      <c r="C14" s="148" t="s">
        <v>473</v>
      </c>
      <c r="D14" s="336" t="s">
        <v>461</v>
      </c>
      <c r="E14" s="148">
        <v>0.3</v>
      </c>
      <c r="F14" s="338"/>
      <c r="G14" s="149"/>
      <c r="H14" s="339"/>
    </row>
    <row r="15" spans="1:8" s="136" customFormat="1">
      <c r="A15" s="148">
        <v>11</v>
      </c>
      <c r="B15" s="148" t="s">
        <v>474</v>
      </c>
      <c r="C15" s="148" t="s">
        <v>475</v>
      </c>
      <c r="D15" s="336" t="s">
        <v>101</v>
      </c>
      <c r="E15" s="148">
        <v>0.24</v>
      </c>
      <c r="F15" s="338"/>
      <c r="G15" s="149"/>
      <c r="H15" s="339"/>
    </row>
    <row r="16" spans="1:8" s="136" customFormat="1">
      <c r="A16" s="148">
        <v>12</v>
      </c>
      <c r="B16" s="148" t="s">
        <v>474</v>
      </c>
      <c r="C16" s="148" t="s">
        <v>476</v>
      </c>
      <c r="D16" s="336" t="s">
        <v>101</v>
      </c>
      <c r="E16" s="148">
        <v>0.5</v>
      </c>
      <c r="F16" s="338"/>
      <c r="G16" s="149"/>
      <c r="H16" s="339"/>
    </row>
    <row r="17" spans="1:8" s="136" customFormat="1">
      <c r="A17" s="148">
        <v>13</v>
      </c>
      <c r="B17" s="148" t="s">
        <v>477</v>
      </c>
      <c r="C17" s="148" t="s">
        <v>478</v>
      </c>
      <c r="D17" s="336" t="s">
        <v>101</v>
      </c>
      <c r="E17" s="148">
        <v>0.24</v>
      </c>
      <c r="F17" s="338"/>
      <c r="G17" s="149"/>
      <c r="H17" s="339"/>
    </row>
    <row r="18" spans="1:8" s="136" customFormat="1">
      <c r="A18" s="148">
        <v>14</v>
      </c>
      <c r="B18" s="148" t="s">
        <v>459</v>
      </c>
      <c r="C18" s="148" t="s">
        <v>479</v>
      </c>
      <c r="D18" s="336" t="s">
        <v>461</v>
      </c>
      <c r="E18" s="148">
        <v>0.7</v>
      </c>
      <c r="F18" s="338"/>
      <c r="G18" s="149"/>
      <c r="H18" s="339"/>
    </row>
    <row r="19" spans="1:8" s="136" customFormat="1" ht="42">
      <c r="A19" s="148">
        <v>15</v>
      </c>
      <c r="B19" s="148" t="s">
        <v>457</v>
      </c>
      <c r="C19" s="340" t="s">
        <v>480</v>
      </c>
      <c r="D19" s="148" t="s">
        <v>101</v>
      </c>
      <c r="E19" s="148">
        <v>3</v>
      </c>
      <c r="F19" s="338"/>
      <c r="G19" s="149"/>
      <c r="H19" s="339"/>
    </row>
    <row r="20" spans="1:8" s="136" customFormat="1">
      <c r="A20" s="148">
        <v>16</v>
      </c>
      <c r="B20" s="148" t="s">
        <v>459</v>
      </c>
      <c r="C20" s="148" t="s">
        <v>481</v>
      </c>
      <c r="D20" s="336" t="s">
        <v>461</v>
      </c>
      <c r="E20" s="148">
        <v>9.6000000000000002E-2</v>
      </c>
      <c r="F20" s="338"/>
      <c r="G20" s="149"/>
      <c r="H20" s="339"/>
    </row>
    <row r="21" spans="1:8" s="136" customFormat="1">
      <c r="A21" s="148">
        <v>17</v>
      </c>
      <c r="B21" s="148" t="s">
        <v>459</v>
      </c>
      <c r="C21" s="148" t="s">
        <v>482</v>
      </c>
      <c r="D21" s="336" t="s">
        <v>461</v>
      </c>
      <c r="E21" s="148">
        <v>0.56000000000000005</v>
      </c>
      <c r="F21" s="338"/>
      <c r="G21" s="149"/>
      <c r="H21" s="339"/>
    </row>
    <row r="22" spans="1:8" s="136" customFormat="1" ht="13.15" customHeight="1">
      <c r="A22" s="148">
        <v>18</v>
      </c>
      <c r="B22" s="148" t="s">
        <v>468</v>
      </c>
      <c r="C22" s="164" t="s">
        <v>483</v>
      </c>
      <c r="D22" s="148" t="s">
        <v>101</v>
      </c>
      <c r="E22" s="148">
        <v>20</v>
      </c>
      <c r="F22" s="338"/>
      <c r="G22" s="149"/>
      <c r="H22" s="339"/>
    </row>
    <row r="23" spans="1:8" s="136" customFormat="1" ht="31" customHeight="1">
      <c r="A23" s="148">
        <v>19</v>
      </c>
      <c r="B23" s="148" t="s">
        <v>470</v>
      </c>
      <c r="C23" s="148" t="s">
        <v>484</v>
      </c>
      <c r="D23" s="336" t="s">
        <v>101</v>
      </c>
      <c r="E23" s="148">
        <v>3.5</v>
      </c>
      <c r="F23" s="338"/>
      <c r="G23" s="149"/>
      <c r="H23" s="339"/>
    </row>
    <row r="24" spans="1:8" s="136" customFormat="1">
      <c r="A24" s="148">
        <v>20</v>
      </c>
      <c r="B24" s="148" t="s">
        <v>474</v>
      </c>
      <c r="C24" s="148" t="s">
        <v>485</v>
      </c>
      <c r="D24" s="148" t="s">
        <v>101</v>
      </c>
      <c r="E24" s="148">
        <v>0.4</v>
      </c>
      <c r="F24" s="338"/>
      <c r="G24" s="149"/>
      <c r="H24" s="339"/>
    </row>
    <row r="25" spans="1:8" s="136" customFormat="1">
      <c r="A25" s="148">
        <v>21</v>
      </c>
      <c r="B25" s="148" t="s">
        <v>459</v>
      </c>
      <c r="C25" s="148" t="s">
        <v>486</v>
      </c>
      <c r="D25" s="336" t="s">
        <v>461</v>
      </c>
      <c r="E25" s="148">
        <v>0.86</v>
      </c>
      <c r="F25" s="338"/>
      <c r="G25" s="149"/>
      <c r="H25" s="339"/>
    </row>
    <row r="26" spans="1:8" s="136" customFormat="1">
      <c r="A26" s="148">
        <v>22</v>
      </c>
      <c r="B26" s="148" t="s">
        <v>474</v>
      </c>
      <c r="C26" s="148" t="s">
        <v>487</v>
      </c>
      <c r="D26" s="148" t="s">
        <v>101</v>
      </c>
      <c r="E26" s="148">
        <v>0.4</v>
      </c>
      <c r="F26" s="338"/>
      <c r="G26" s="149"/>
      <c r="H26" s="339"/>
    </row>
    <row r="27" spans="1:8" s="136" customFormat="1">
      <c r="A27" s="148">
        <v>23</v>
      </c>
      <c r="B27" s="148" t="s">
        <v>474</v>
      </c>
      <c r="C27" s="148" t="s">
        <v>488</v>
      </c>
      <c r="D27" s="148" t="s">
        <v>101</v>
      </c>
      <c r="E27" s="148">
        <v>0.5</v>
      </c>
      <c r="F27" s="338"/>
      <c r="G27" s="149"/>
      <c r="H27" s="339"/>
    </row>
    <row r="28" spans="1:8" s="136" customFormat="1">
      <c r="A28" s="148">
        <v>24</v>
      </c>
      <c r="B28" s="148" t="s">
        <v>459</v>
      </c>
      <c r="C28" s="148" t="s">
        <v>489</v>
      </c>
      <c r="D28" s="148" t="s">
        <v>101</v>
      </c>
      <c r="E28" s="148">
        <v>8.0000000000000002E-3</v>
      </c>
      <c r="F28" s="338"/>
      <c r="G28" s="149"/>
      <c r="H28" s="339"/>
    </row>
    <row r="29" spans="1:8" s="136" customFormat="1">
      <c r="A29" s="148">
        <v>25</v>
      </c>
      <c r="B29" s="148" t="s">
        <v>459</v>
      </c>
      <c r="C29" s="148" t="s">
        <v>490</v>
      </c>
      <c r="D29" s="336" t="s">
        <v>101</v>
      </c>
      <c r="E29" s="148">
        <v>8.0000000000000002E-3</v>
      </c>
      <c r="F29" s="338"/>
      <c r="G29" s="149"/>
      <c r="H29" s="339"/>
    </row>
    <row r="30" spans="1:8" s="136" customFormat="1">
      <c r="A30" s="148">
        <v>26</v>
      </c>
      <c r="B30" s="148" t="s">
        <v>457</v>
      </c>
      <c r="C30" s="336" t="s">
        <v>491</v>
      </c>
      <c r="D30" s="336" t="s">
        <v>101</v>
      </c>
      <c r="E30" s="148">
        <v>45</v>
      </c>
      <c r="F30" s="338"/>
      <c r="G30" s="149"/>
      <c r="H30" s="339"/>
    </row>
    <row r="31" spans="1:8" s="136" customFormat="1">
      <c r="A31" s="148">
        <v>27</v>
      </c>
      <c r="B31" s="148" t="s">
        <v>472</v>
      </c>
      <c r="C31" s="148" t="s">
        <v>492</v>
      </c>
      <c r="D31" s="336" t="s">
        <v>101</v>
      </c>
      <c r="E31" s="148">
        <v>25</v>
      </c>
      <c r="F31" s="338"/>
      <c r="G31" s="149"/>
      <c r="H31" s="339"/>
    </row>
    <row r="32" spans="1:8" s="136" customFormat="1">
      <c r="A32" s="148">
        <v>28</v>
      </c>
      <c r="B32" s="148" t="s">
        <v>459</v>
      </c>
      <c r="C32" s="148" t="s">
        <v>493</v>
      </c>
      <c r="D32" s="336" t="s">
        <v>461</v>
      </c>
      <c r="E32" s="148">
        <v>0.06</v>
      </c>
      <c r="F32" s="338"/>
      <c r="G32" s="149"/>
      <c r="H32" s="339"/>
    </row>
    <row r="33" spans="1:8" s="136" customFormat="1">
      <c r="A33" s="148">
        <v>29</v>
      </c>
      <c r="B33" s="148" t="s">
        <v>459</v>
      </c>
      <c r="C33" s="148" t="s">
        <v>494</v>
      </c>
      <c r="D33" s="336" t="s">
        <v>495</v>
      </c>
      <c r="E33" s="148">
        <v>0.02</v>
      </c>
      <c r="F33" s="338"/>
      <c r="G33" s="149"/>
      <c r="H33" s="339"/>
    </row>
    <row r="34" spans="1:8" s="136" customFormat="1" ht="28">
      <c r="A34" s="148">
        <v>30</v>
      </c>
      <c r="B34" s="148" t="s">
        <v>457</v>
      </c>
      <c r="C34" s="340" t="s">
        <v>496</v>
      </c>
      <c r="D34" s="336" t="s">
        <v>101</v>
      </c>
      <c r="E34" s="148">
        <v>30</v>
      </c>
      <c r="F34" s="338"/>
      <c r="G34" s="149"/>
      <c r="H34" s="339"/>
    </row>
    <row r="35" spans="1:8" s="136" customFormat="1" ht="28">
      <c r="A35" s="148">
        <v>31</v>
      </c>
      <c r="B35" s="148" t="s">
        <v>468</v>
      </c>
      <c r="C35" s="164" t="s">
        <v>497</v>
      </c>
      <c r="D35" s="336" t="s">
        <v>101</v>
      </c>
      <c r="E35" s="148">
        <v>10</v>
      </c>
      <c r="F35" s="338"/>
      <c r="G35" s="149"/>
      <c r="H35" s="339"/>
    </row>
    <row r="36" spans="1:8" s="136" customFormat="1">
      <c r="A36" s="148">
        <v>32</v>
      </c>
      <c r="B36" s="148" t="s">
        <v>470</v>
      </c>
      <c r="C36" s="148" t="s">
        <v>498</v>
      </c>
      <c r="D36" s="336" t="s">
        <v>101</v>
      </c>
      <c r="E36" s="148">
        <v>1</v>
      </c>
      <c r="F36" s="338"/>
      <c r="G36" s="149"/>
      <c r="H36" s="339"/>
    </row>
    <row r="37" spans="1:8" s="136" customFormat="1">
      <c r="A37" s="148">
        <v>33</v>
      </c>
      <c r="B37" s="148" t="s">
        <v>474</v>
      </c>
      <c r="C37" s="148" t="s">
        <v>499</v>
      </c>
      <c r="D37" s="336" t="s">
        <v>101</v>
      </c>
      <c r="E37" s="148">
        <v>0.24</v>
      </c>
      <c r="F37" s="338"/>
      <c r="G37" s="149"/>
      <c r="H37" s="339"/>
    </row>
    <row r="38" spans="1:8" s="136" customFormat="1">
      <c r="A38" s="148">
        <v>34</v>
      </c>
      <c r="B38" s="148" t="s">
        <v>474</v>
      </c>
      <c r="C38" s="148" t="s">
        <v>500</v>
      </c>
      <c r="D38" s="336" t="s">
        <v>101</v>
      </c>
      <c r="E38" s="148">
        <v>0.35</v>
      </c>
      <c r="F38" s="338"/>
      <c r="G38" s="149"/>
      <c r="H38" s="339"/>
    </row>
    <row r="39" spans="1:8" s="136" customFormat="1">
      <c r="A39" s="148">
        <v>35</v>
      </c>
      <c r="B39" s="148" t="s">
        <v>457</v>
      </c>
      <c r="C39" s="336" t="s">
        <v>501</v>
      </c>
      <c r="D39" s="336" t="s">
        <v>101</v>
      </c>
      <c r="E39" s="148">
        <v>13.5</v>
      </c>
      <c r="F39" s="338"/>
      <c r="G39" s="149"/>
      <c r="H39" s="339"/>
    </row>
    <row r="40" spans="1:8" s="136" customFormat="1" ht="28">
      <c r="A40" s="148">
        <v>36</v>
      </c>
      <c r="B40" s="148" t="s">
        <v>468</v>
      </c>
      <c r="C40" s="164" t="s">
        <v>502</v>
      </c>
      <c r="D40" s="148" t="s">
        <v>101</v>
      </c>
      <c r="E40" s="148">
        <v>15</v>
      </c>
      <c r="F40" s="338"/>
      <c r="G40" s="149"/>
      <c r="H40" s="339"/>
    </row>
    <row r="41" spans="1:8" s="136" customFormat="1">
      <c r="A41" s="148">
        <v>37</v>
      </c>
      <c r="B41" s="148" t="s">
        <v>470</v>
      </c>
      <c r="C41" s="148" t="s">
        <v>503</v>
      </c>
      <c r="D41" s="336" t="s">
        <v>101</v>
      </c>
      <c r="E41" s="148">
        <v>1.5</v>
      </c>
      <c r="F41" s="338"/>
      <c r="G41" s="149"/>
      <c r="H41" s="339"/>
    </row>
    <row r="42" spans="1:8" s="136" customFormat="1" ht="28">
      <c r="A42" s="148">
        <v>38</v>
      </c>
      <c r="B42" s="148" t="s">
        <v>504</v>
      </c>
      <c r="C42" s="164" t="s">
        <v>505</v>
      </c>
      <c r="D42" s="336" t="s">
        <v>101</v>
      </c>
      <c r="E42" s="148">
        <v>1</v>
      </c>
      <c r="F42" s="338"/>
      <c r="G42" s="149"/>
      <c r="H42" s="339"/>
    </row>
    <row r="43" spans="1:8" s="136" customFormat="1">
      <c r="A43" s="148">
        <v>39</v>
      </c>
      <c r="B43" s="148" t="s">
        <v>459</v>
      </c>
      <c r="C43" s="148" t="s">
        <v>506</v>
      </c>
      <c r="D43" s="336" t="s">
        <v>461</v>
      </c>
      <c r="E43" s="148">
        <f>0.068/2</f>
        <v>3.4000000000000002E-2</v>
      </c>
      <c r="F43" s="338"/>
      <c r="G43" s="149"/>
      <c r="H43" s="339"/>
    </row>
    <row r="44" spans="1:8" s="136" customFormat="1">
      <c r="A44" s="148">
        <v>40</v>
      </c>
      <c r="B44" s="148" t="s">
        <v>474</v>
      </c>
      <c r="C44" s="148" t="s">
        <v>507</v>
      </c>
      <c r="D44" s="336" t="s">
        <v>101</v>
      </c>
      <c r="E44" s="148">
        <v>0.4</v>
      </c>
      <c r="F44" s="338"/>
      <c r="G44" s="149"/>
      <c r="H44" s="339"/>
    </row>
    <row r="45" spans="1:8" s="136" customFormat="1">
      <c r="A45" s="148">
        <v>41</v>
      </c>
      <c r="B45" s="148" t="s">
        <v>474</v>
      </c>
      <c r="C45" s="148" t="s">
        <v>508</v>
      </c>
      <c r="D45" s="336" t="s">
        <v>101</v>
      </c>
      <c r="E45" s="148">
        <v>0.3</v>
      </c>
      <c r="F45" s="338"/>
      <c r="G45" s="149"/>
      <c r="H45" s="339"/>
    </row>
    <row r="46" spans="1:8" s="136" customFormat="1">
      <c r="A46" s="148">
        <v>42</v>
      </c>
      <c r="B46" s="148" t="s">
        <v>474</v>
      </c>
      <c r="C46" s="148" t="s">
        <v>509</v>
      </c>
      <c r="D46" s="336" t="s">
        <v>101</v>
      </c>
      <c r="E46" s="148">
        <v>0.24</v>
      </c>
      <c r="F46" s="338"/>
      <c r="G46" s="149"/>
      <c r="H46" s="339"/>
    </row>
    <row r="47" spans="1:8" s="136" customFormat="1">
      <c r="A47" s="148">
        <v>43</v>
      </c>
      <c r="B47" s="148" t="s">
        <v>464</v>
      </c>
      <c r="C47" s="148" t="s">
        <v>510</v>
      </c>
      <c r="D47" s="336" t="s">
        <v>461</v>
      </c>
      <c r="E47" s="148">
        <v>0.5</v>
      </c>
      <c r="F47" s="338"/>
      <c r="G47" s="149"/>
      <c r="H47" s="339"/>
    </row>
    <row r="48" spans="1:8" s="136" customFormat="1">
      <c r="A48" s="148">
        <v>44</v>
      </c>
      <c r="B48" s="148" t="s">
        <v>464</v>
      </c>
      <c r="C48" s="148" t="s">
        <v>511</v>
      </c>
      <c r="D48" s="336" t="s">
        <v>461</v>
      </c>
      <c r="E48" s="341">
        <f>0.79/2/3</f>
        <v>0.13166666666666668</v>
      </c>
      <c r="F48" s="338"/>
      <c r="G48" s="149"/>
      <c r="H48" s="339"/>
    </row>
    <row r="49" spans="1:8" s="136" customFormat="1">
      <c r="A49" s="148">
        <v>45</v>
      </c>
      <c r="B49" s="148" t="s">
        <v>464</v>
      </c>
      <c r="C49" s="148" t="s">
        <v>512</v>
      </c>
      <c r="D49" s="336" t="s">
        <v>461</v>
      </c>
      <c r="E49" s="341">
        <f>3.2/3</f>
        <v>1.0666666666666667</v>
      </c>
      <c r="F49" s="338"/>
      <c r="G49" s="149"/>
      <c r="H49" s="339"/>
    </row>
    <row r="50" spans="1:8" s="136" customFormat="1">
      <c r="A50" s="148">
        <v>46</v>
      </c>
      <c r="B50" s="148" t="s">
        <v>464</v>
      </c>
      <c r="C50" s="148" t="s">
        <v>513</v>
      </c>
      <c r="D50" s="336" t="s">
        <v>101</v>
      </c>
      <c r="E50" s="148">
        <v>0.08</v>
      </c>
      <c r="F50" s="338"/>
      <c r="G50" s="149"/>
      <c r="H50" s="339"/>
    </row>
    <row r="51" spans="1:8" s="136" customFormat="1">
      <c r="A51" s="148">
        <v>47</v>
      </c>
      <c r="B51" s="148" t="s">
        <v>464</v>
      </c>
      <c r="C51" s="148" t="s">
        <v>514</v>
      </c>
      <c r="D51" s="336" t="s">
        <v>495</v>
      </c>
      <c r="E51" s="148">
        <v>0.2</v>
      </c>
      <c r="F51" s="338"/>
      <c r="G51" s="149"/>
      <c r="H51" s="339"/>
    </row>
    <row r="52" spans="1:8" s="136" customFormat="1">
      <c r="A52" s="148">
        <v>48</v>
      </c>
      <c r="B52" s="148" t="s">
        <v>464</v>
      </c>
      <c r="C52" s="148" t="s">
        <v>515</v>
      </c>
      <c r="D52" s="336" t="s">
        <v>101</v>
      </c>
      <c r="E52" s="148">
        <v>0.19</v>
      </c>
      <c r="F52" s="338"/>
      <c r="G52" s="149"/>
      <c r="H52" s="339"/>
    </row>
    <row r="53" spans="1:8" s="136" customFormat="1">
      <c r="A53" s="148">
        <v>49</v>
      </c>
      <c r="B53" s="148" t="s">
        <v>464</v>
      </c>
      <c r="C53" s="148" t="s">
        <v>516</v>
      </c>
      <c r="D53" s="336" t="s">
        <v>101</v>
      </c>
      <c r="E53" s="148">
        <v>0.1</v>
      </c>
      <c r="F53" s="338"/>
      <c r="G53" s="149"/>
      <c r="H53" s="339"/>
    </row>
    <row r="54" spans="1:8" s="136" customFormat="1">
      <c r="A54" s="148">
        <v>50</v>
      </c>
      <c r="B54" s="148" t="s">
        <v>464</v>
      </c>
      <c r="C54" s="148" t="s">
        <v>517</v>
      </c>
      <c r="D54" s="336" t="s">
        <v>101</v>
      </c>
      <c r="E54" s="148">
        <v>0.05</v>
      </c>
      <c r="F54" s="338"/>
      <c r="G54" s="149"/>
      <c r="H54" s="339"/>
    </row>
    <row r="55" spans="1:8" s="136" customFormat="1">
      <c r="A55" s="148">
        <v>51</v>
      </c>
      <c r="B55" s="148" t="s">
        <v>464</v>
      </c>
      <c r="C55" s="148" t="s">
        <v>518</v>
      </c>
      <c r="D55" s="336" t="s">
        <v>101</v>
      </c>
      <c r="E55" s="148">
        <v>0.05</v>
      </c>
      <c r="F55" s="338"/>
      <c r="G55" s="149"/>
      <c r="H55" s="339"/>
    </row>
    <row r="56" spans="1:8" s="136" customFormat="1">
      <c r="A56" s="148">
        <v>52</v>
      </c>
      <c r="B56" s="148" t="s">
        <v>472</v>
      </c>
      <c r="C56" s="148" t="s">
        <v>519</v>
      </c>
      <c r="D56" s="336" t="s">
        <v>101</v>
      </c>
      <c r="E56" s="148">
        <v>0.35</v>
      </c>
      <c r="F56" s="338"/>
      <c r="G56" s="149"/>
      <c r="H56" s="339"/>
    </row>
    <row r="57" spans="1:8" s="136" customFormat="1" ht="28">
      <c r="A57" s="148">
        <v>53</v>
      </c>
      <c r="B57" s="148" t="s">
        <v>520</v>
      </c>
      <c r="C57" s="164" t="s">
        <v>521</v>
      </c>
      <c r="D57" s="148" t="s">
        <v>101</v>
      </c>
      <c r="E57" s="148">
        <v>2</v>
      </c>
      <c r="F57" s="338"/>
      <c r="G57" s="149"/>
      <c r="H57" s="339"/>
    </row>
    <row r="58" spans="1:8" s="136" customFormat="1">
      <c r="A58" s="148">
        <v>54</v>
      </c>
      <c r="B58" s="148" t="s">
        <v>520</v>
      </c>
      <c r="C58" s="148" t="s">
        <v>522</v>
      </c>
      <c r="D58" s="148" t="s">
        <v>101</v>
      </c>
      <c r="E58" s="148">
        <v>1</v>
      </c>
      <c r="F58" s="338"/>
      <c r="G58" s="149"/>
      <c r="H58" s="339"/>
    </row>
    <row r="59" spans="1:8" s="136" customFormat="1">
      <c r="A59" s="148">
        <v>55</v>
      </c>
      <c r="B59" s="148" t="s">
        <v>520</v>
      </c>
      <c r="C59" s="148" t="s">
        <v>523</v>
      </c>
      <c r="D59" s="336" t="s">
        <v>461</v>
      </c>
      <c r="E59" s="148">
        <v>3.2000000000000001E-2</v>
      </c>
      <c r="F59" s="338"/>
      <c r="G59" s="149"/>
      <c r="H59" s="339"/>
    </row>
    <row r="60" spans="1:8" s="136" customFormat="1">
      <c r="A60" s="148">
        <v>56</v>
      </c>
      <c r="B60" s="148" t="s">
        <v>520</v>
      </c>
      <c r="C60" s="148" t="s">
        <v>524</v>
      </c>
      <c r="D60" s="336" t="s">
        <v>461</v>
      </c>
      <c r="E60" s="148">
        <v>3.2000000000000001E-2</v>
      </c>
      <c r="F60" s="338"/>
      <c r="G60" s="149"/>
      <c r="H60" s="339"/>
    </row>
    <row r="61" spans="1:8" s="136" customFormat="1">
      <c r="A61" s="148">
        <v>57</v>
      </c>
      <c r="B61" s="148" t="s">
        <v>520</v>
      </c>
      <c r="C61" s="148" t="s">
        <v>525</v>
      </c>
      <c r="D61" s="336" t="s">
        <v>101</v>
      </c>
      <c r="E61" s="148">
        <v>0.01</v>
      </c>
      <c r="F61" s="338"/>
      <c r="G61" s="149"/>
      <c r="H61" s="339"/>
    </row>
    <row r="62" spans="1:8" s="136" customFormat="1">
      <c r="A62" s="148">
        <v>58</v>
      </c>
      <c r="B62" s="148" t="s">
        <v>520</v>
      </c>
      <c r="C62" s="148" t="s">
        <v>526</v>
      </c>
      <c r="D62" s="336" t="s">
        <v>101</v>
      </c>
      <c r="E62" s="148">
        <v>0.01</v>
      </c>
      <c r="F62" s="338"/>
      <c r="G62" s="149"/>
      <c r="H62" s="339"/>
    </row>
    <row r="63" spans="1:8" s="136" customFormat="1">
      <c r="A63" s="148">
        <v>59</v>
      </c>
      <c r="B63" s="148" t="s">
        <v>464</v>
      </c>
      <c r="C63" s="148" t="s">
        <v>527</v>
      </c>
      <c r="D63" s="336" t="s">
        <v>461</v>
      </c>
      <c r="E63" s="148">
        <v>0.4</v>
      </c>
      <c r="F63" s="338"/>
      <c r="G63" s="149"/>
      <c r="H63" s="339"/>
    </row>
    <row r="64" spans="1:8" s="136" customFormat="1">
      <c r="A64" s="148">
        <v>60</v>
      </c>
      <c r="B64" s="148" t="s">
        <v>464</v>
      </c>
      <c r="C64" s="148" t="s">
        <v>528</v>
      </c>
      <c r="D64" s="336" t="s">
        <v>101</v>
      </c>
      <c r="E64" s="148">
        <v>0.19</v>
      </c>
      <c r="F64" s="338"/>
      <c r="G64" s="149"/>
      <c r="H64" s="339"/>
    </row>
    <row r="65" spans="1:8" s="136" customFormat="1" ht="28">
      <c r="A65" s="148">
        <v>61</v>
      </c>
      <c r="B65" s="148" t="s">
        <v>468</v>
      </c>
      <c r="C65" s="164" t="s">
        <v>529</v>
      </c>
      <c r="D65" s="336" t="s">
        <v>101</v>
      </c>
      <c r="E65" s="148">
        <v>2</v>
      </c>
      <c r="F65" s="338"/>
      <c r="G65" s="149"/>
      <c r="H65" s="339"/>
    </row>
    <row r="66" spans="1:8" s="136" customFormat="1">
      <c r="A66" s="148">
        <v>62</v>
      </c>
      <c r="B66" s="148" t="s">
        <v>520</v>
      </c>
      <c r="C66" s="148" t="s">
        <v>530</v>
      </c>
      <c r="D66" s="336" t="s">
        <v>101</v>
      </c>
      <c r="E66" s="148">
        <v>3.5000000000000003E-2</v>
      </c>
      <c r="F66" s="338"/>
      <c r="G66" s="149"/>
      <c r="H66" s="339"/>
    </row>
    <row r="67" spans="1:8" s="136" customFormat="1">
      <c r="A67" s="148">
        <v>63</v>
      </c>
      <c r="B67" s="148" t="s">
        <v>520</v>
      </c>
      <c r="C67" s="148" t="s">
        <v>531</v>
      </c>
      <c r="D67" s="336" t="s">
        <v>101</v>
      </c>
      <c r="E67" s="148">
        <v>0.1</v>
      </c>
      <c r="F67" s="338"/>
      <c r="G67" s="149"/>
      <c r="H67" s="339"/>
    </row>
    <row r="68" spans="1:8" s="136" customFormat="1">
      <c r="A68" s="148">
        <v>64</v>
      </c>
      <c r="B68" s="148" t="s">
        <v>532</v>
      </c>
      <c r="C68" s="148" t="s">
        <v>533</v>
      </c>
      <c r="D68" s="336" t="s">
        <v>101</v>
      </c>
      <c r="E68" s="148">
        <v>10</v>
      </c>
      <c r="F68" s="338"/>
      <c r="G68" s="149"/>
      <c r="H68" s="339"/>
    </row>
    <row r="69" spans="1:8" s="136" customFormat="1">
      <c r="A69" s="148">
        <v>65</v>
      </c>
      <c r="B69" s="148" t="s">
        <v>534</v>
      </c>
      <c r="C69" s="148" t="s">
        <v>535</v>
      </c>
      <c r="D69" s="336" t="s">
        <v>101</v>
      </c>
      <c r="E69" s="148">
        <v>0.01</v>
      </c>
      <c r="F69" s="338"/>
      <c r="G69" s="149"/>
      <c r="H69" s="339"/>
    </row>
    <row r="70" spans="1:8" s="136" customFormat="1">
      <c r="A70" s="148">
        <v>66</v>
      </c>
      <c r="B70" s="148" t="s">
        <v>534</v>
      </c>
      <c r="C70" s="148" t="s">
        <v>536</v>
      </c>
      <c r="D70" s="336" t="s">
        <v>101</v>
      </c>
      <c r="E70" s="148">
        <v>0.01</v>
      </c>
      <c r="F70" s="338"/>
      <c r="G70" s="149"/>
      <c r="H70" s="339"/>
    </row>
    <row r="71" spans="1:8" s="136" customFormat="1">
      <c r="A71" s="148">
        <v>67</v>
      </c>
      <c r="B71" s="148" t="s">
        <v>459</v>
      </c>
      <c r="C71" s="148" t="s">
        <v>537</v>
      </c>
      <c r="D71" s="148" t="s">
        <v>461</v>
      </c>
      <c r="E71" s="148">
        <v>0.86</v>
      </c>
      <c r="F71" s="338"/>
      <c r="G71" s="149"/>
      <c r="H71" s="339"/>
    </row>
    <row r="72" spans="1:8" s="136" customFormat="1">
      <c r="A72" s="148">
        <v>68</v>
      </c>
      <c r="B72" s="148" t="s">
        <v>504</v>
      </c>
      <c r="C72" s="148" t="s">
        <v>538</v>
      </c>
      <c r="D72" s="336" t="s">
        <v>101</v>
      </c>
      <c r="E72" s="148">
        <v>3.07</v>
      </c>
      <c r="F72" s="338"/>
      <c r="G72" s="149"/>
      <c r="H72" s="339"/>
    </row>
    <row r="73" spans="1:8" s="136" customFormat="1">
      <c r="A73" s="148">
        <v>69</v>
      </c>
      <c r="B73" s="148" t="s">
        <v>532</v>
      </c>
      <c r="C73" s="148" t="s">
        <v>539</v>
      </c>
      <c r="D73" s="336" t="s">
        <v>101</v>
      </c>
      <c r="E73" s="148">
        <v>0.09</v>
      </c>
      <c r="F73" s="338"/>
      <c r="G73" s="149"/>
      <c r="H73" s="339"/>
    </row>
    <row r="74" spans="1:8" s="136" customFormat="1">
      <c r="A74" s="148">
        <v>70</v>
      </c>
      <c r="B74" s="148" t="s">
        <v>472</v>
      </c>
      <c r="C74" s="148" t="s">
        <v>540</v>
      </c>
      <c r="D74" s="336" t="s">
        <v>101</v>
      </c>
      <c r="E74" s="148">
        <v>0.02</v>
      </c>
      <c r="F74" s="338"/>
      <c r="G74" s="149"/>
      <c r="H74" s="339"/>
    </row>
    <row r="75" spans="1:8" s="136" customFormat="1">
      <c r="A75" s="148">
        <v>71</v>
      </c>
      <c r="B75" s="148" t="s">
        <v>459</v>
      </c>
      <c r="C75" s="148" t="s">
        <v>541</v>
      </c>
      <c r="D75" s="336" t="s">
        <v>101</v>
      </c>
      <c r="E75" s="148">
        <v>0.01</v>
      </c>
      <c r="F75" s="338"/>
      <c r="G75" s="149"/>
      <c r="H75" s="339"/>
    </row>
    <row r="76" spans="1:8" s="136" customFormat="1">
      <c r="A76" s="148">
        <v>72</v>
      </c>
      <c r="B76" s="148" t="s">
        <v>504</v>
      </c>
      <c r="C76" s="148" t="s">
        <v>542</v>
      </c>
      <c r="D76" s="336" t="s">
        <v>101</v>
      </c>
      <c r="E76" s="148">
        <v>4</v>
      </c>
      <c r="F76" s="338"/>
      <c r="G76" s="149"/>
      <c r="H76" s="339"/>
    </row>
    <row r="77" spans="1:8" s="136" customFormat="1" ht="28">
      <c r="A77" s="148">
        <v>73</v>
      </c>
      <c r="B77" s="148" t="s">
        <v>504</v>
      </c>
      <c r="C77" s="164" t="s">
        <v>543</v>
      </c>
      <c r="D77" s="148" t="s">
        <v>101</v>
      </c>
      <c r="E77" s="148">
        <v>0.5</v>
      </c>
      <c r="F77" s="338"/>
      <c r="G77" s="149"/>
      <c r="H77" s="339"/>
    </row>
    <row r="78" spans="1:8" s="136" customFormat="1">
      <c r="A78" s="148">
        <v>74</v>
      </c>
      <c r="B78" s="148" t="s">
        <v>459</v>
      </c>
      <c r="C78" s="148" t="s">
        <v>544</v>
      </c>
      <c r="D78" s="336" t="s">
        <v>461</v>
      </c>
      <c r="E78" s="148">
        <v>0.35599999999999998</v>
      </c>
      <c r="F78" s="338"/>
      <c r="G78" s="149"/>
      <c r="H78" s="339"/>
    </row>
    <row r="79" spans="1:8" s="136" customFormat="1">
      <c r="A79" s="148">
        <v>75</v>
      </c>
      <c r="B79" s="148" t="s">
        <v>459</v>
      </c>
      <c r="C79" s="148" t="s">
        <v>545</v>
      </c>
      <c r="D79" s="336" t="s">
        <v>461</v>
      </c>
      <c r="E79" s="148">
        <v>9.6000000000000002E-2</v>
      </c>
      <c r="F79" s="338"/>
      <c r="G79" s="149"/>
      <c r="H79" s="339"/>
    </row>
    <row r="80" spans="1:8" s="136" customFormat="1">
      <c r="A80" s="148">
        <v>76</v>
      </c>
      <c r="B80" s="148" t="s">
        <v>472</v>
      </c>
      <c r="C80" s="148" t="s">
        <v>546</v>
      </c>
      <c r="D80" s="336" t="s">
        <v>101</v>
      </c>
      <c r="E80" s="148">
        <v>0.05</v>
      </c>
      <c r="F80" s="338"/>
      <c r="G80" s="149"/>
      <c r="H80" s="339"/>
    </row>
    <row r="81" spans="1:8" s="136" customFormat="1">
      <c r="A81" s="148">
        <v>77</v>
      </c>
      <c r="B81" s="148" t="s">
        <v>472</v>
      </c>
      <c r="C81" s="148" t="s">
        <v>547</v>
      </c>
      <c r="D81" s="336" t="s">
        <v>101</v>
      </c>
      <c r="E81" s="148">
        <v>0.05</v>
      </c>
      <c r="F81" s="338"/>
      <c r="G81" s="149"/>
      <c r="H81" s="339"/>
    </row>
    <row r="82" spans="1:8" s="136" customFormat="1">
      <c r="A82" s="148">
        <v>78</v>
      </c>
      <c r="B82" s="148" t="s">
        <v>472</v>
      </c>
      <c r="C82" s="148" t="s">
        <v>548</v>
      </c>
      <c r="D82" s="336" t="s">
        <v>101</v>
      </c>
      <c r="E82" s="148">
        <v>0.05</v>
      </c>
      <c r="F82" s="338"/>
      <c r="G82" s="149"/>
      <c r="H82" s="339"/>
    </row>
    <row r="83" spans="1:8" s="136" customFormat="1">
      <c r="A83" s="148">
        <v>79</v>
      </c>
      <c r="B83" s="148" t="s">
        <v>472</v>
      </c>
      <c r="C83" s="148" t="s">
        <v>549</v>
      </c>
      <c r="D83" s="336" t="s">
        <v>101</v>
      </c>
      <c r="E83" s="148">
        <v>0.05</v>
      </c>
      <c r="F83" s="338"/>
      <c r="G83" s="149"/>
      <c r="H83" s="339"/>
    </row>
    <row r="84" spans="1:8" s="136" customFormat="1">
      <c r="A84" s="148">
        <v>80</v>
      </c>
      <c r="B84" s="148" t="s">
        <v>472</v>
      </c>
      <c r="C84" s="148" t="s">
        <v>550</v>
      </c>
      <c r="D84" s="336" t="s">
        <v>101</v>
      </c>
      <c r="E84" s="148">
        <v>0.05</v>
      </c>
      <c r="F84" s="338"/>
      <c r="G84" s="149"/>
      <c r="H84" s="339"/>
    </row>
    <row r="85" spans="1:8" s="136" customFormat="1">
      <c r="A85" s="148">
        <v>81</v>
      </c>
      <c r="B85" s="148" t="s">
        <v>472</v>
      </c>
      <c r="C85" s="148" t="s">
        <v>551</v>
      </c>
      <c r="D85" s="336" t="s">
        <v>101</v>
      </c>
      <c r="E85" s="148">
        <v>0.05</v>
      </c>
      <c r="F85" s="338"/>
      <c r="G85" s="149"/>
      <c r="H85" s="339"/>
    </row>
    <row r="86" spans="1:8" s="136" customFormat="1">
      <c r="A86" s="148">
        <v>82</v>
      </c>
      <c r="B86" s="148" t="s">
        <v>459</v>
      </c>
      <c r="C86" s="148" t="s">
        <v>552</v>
      </c>
      <c r="D86" s="336" t="s">
        <v>101</v>
      </c>
      <c r="E86" s="148">
        <v>0.313</v>
      </c>
      <c r="F86" s="338"/>
      <c r="G86" s="149"/>
      <c r="H86" s="339"/>
    </row>
    <row r="87" spans="1:8" s="136" customFormat="1">
      <c r="A87" s="148">
        <v>83</v>
      </c>
      <c r="B87" s="148" t="s">
        <v>464</v>
      </c>
      <c r="C87" s="148" t="s">
        <v>553</v>
      </c>
      <c r="D87" s="336" t="s">
        <v>461</v>
      </c>
      <c r="E87" s="341">
        <f>0.58/3</f>
        <v>0.19333333333333333</v>
      </c>
      <c r="F87" s="338"/>
      <c r="G87" s="149"/>
      <c r="H87" s="339"/>
    </row>
    <row r="88" spans="1:8" s="136" customFormat="1">
      <c r="A88" s="148">
        <v>84</v>
      </c>
      <c r="B88" s="148" t="s">
        <v>464</v>
      </c>
      <c r="C88" s="148" t="s">
        <v>554</v>
      </c>
      <c r="D88" s="336" t="s">
        <v>461</v>
      </c>
      <c r="E88" s="341">
        <f>1.4/3</f>
        <v>0.46666666666666662</v>
      </c>
      <c r="F88" s="338"/>
      <c r="G88" s="149"/>
      <c r="H88" s="339"/>
    </row>
    <row r="89" spans="1:8" s="136" customFormat="1">
      <c r="A89" s="148">
        <v>85</v>
      </c>
      <c r="B89" s="148" t="s">
        <v>459</v>
      </c>
      <c r="C89" s="148" t="s">
        <v>555</v>
      </c>
      <c r="D89" s="336" t="s">
        <v>461</v>
      </c>
      <c r="E89" s="148">
        <v>7.4999999999999997E-2</v>
      </c>
      <c r="F89" s="338"/>
      <c r="G89" s="149"/>
      <c r="H89" s="339"/>
    </row>
    <row r="90" spans="1:8" s="136" customFormat="1">
      <c r="A90" s="148">
        <v>86</v>
      </c>
      <c r="B90" s="148" t="s">
        <v>520</v>
      </c>
      <c r="C90" s="164" t="s">
        <v>556</v>
      </c>
      <c r="D90" s="336" t="s">
        <v>101</v>
      </c>
      <c r="E90" s="148">
        <v>0.5</v>
      </c>
      <c r="F90" s="338"/>
      <c r="G90" s="149"/>
      <c r="H90" s="339"/>
    </row>
    <row r="91" spans="1:8" s="136" customFormat="1">
      <c r="A91" s="148">
        <v>87</v>
      </c>
      <c r="B91" s="148" t="s">
        <v>468</v>
      </c>
      <c r="C91" s="164" t="s">
        <v>557</v>
      </c>
      <c r="D91" s="336" t="s">
        <v>101</v>
      </c>
      <c r="E91" s="148">
        <v>1</v>
      </c>
      <c r="F91" s="338"/>
      <c r="G91" s="149"/>
      <c r="H91" s="339"/>
    </row>
    <row r="92" spans="1:8" s="136" customFormat="1">
      <c r="A92" s="148">
        <v>88</v>
      </c>
      <c r="B92" s="148" t="s">
        <v>558</v>
      </c>
      <c r="C92" s="164" t="e">
        <f>+#REF!</f>
        <v>#REF!</v>
      </c>
      <c r="D92" s="336" t="s">
        <v>559</v>
      </c>
      <c r="E92" s="148">
        <v>5</v>
      </c>
      <c r="F92" s="338"/>
      <c r="G92" s="149"/>
      <c r="H92" s="339"/>
    </row>
    <row r="93" spans="1:8" s="144" customFormat="1">
      <c r="A93" s="148">
        <v>89</v>
      </c>
      <c r="B93" s="148" t="s">
        <v>558</v>
      </c>
      <c r="C93" s="164" t="s">
        <v>560</v>
      </c>
      <c r="D93" s="336" t="s">
        <v>561</v>
      </c>
      <c r="E93" s="148">
        <v>1</v>
      </c>
      <c r="F93" s="338"/>
      <c r="G93" s="149"/>
      <c r="H93" s="339"/>
    </row>
    <row r="94" spans="1:8" s="144" customFormat="1">
      <c r="A94" s="148">
        <v>90</v>
      </c>
      <c r="B94" s="148" t="s">
        <v>558</v>
      </c>
      <c r="C94" s="164" t="s">
        <v>562</v>
      </c>
      <c r="D94" s="336" t="s">
        <v>563</v>
      </c>
      <c r="E94" s="148">
        <v>1600</v>
      </c>
      <c r="F94" s="338"/>
      <c r="G94" s="149"/>
      <c r="H94" s="339"/>
    </row>
    <row r="95" spans="1:8" s="144" customFormat="1" ht="33.65" customHeight="1">
      <c r="A95" s="148">
        <v>91</v>
      </c>
      <c r="B95" s="148" t="s">
        <v>558</v>
      </c>
      <c r="C95" s="164" t="s">
        <v>564</v>
      </c>
      <c r="D95" s="336" t="s">
        <v>563</v>
      </c>
      <c r="E95" s="148">
        <v>1600</v>
      </c>
      <c r="F95" s="338"/>
      <c r="G95" s="149"/>
      <c r="H95" s="339"/>
    </row>
    <row r="96" spans="1:8" s="144" customFormat="1">
      <c r="A96" s="148">
        <v>92</v>
      </c>
      <c r="B96" s="148" t="s">
        <v>558</v>
      </c>
      <c r="C96" s="164" t="s">
        <v>565</v>
      </c>
      <c r="D96" s="336" t="s">
        <v>566</v>
      </c>
      <c r="E96" s="148">
        <v>1</v>
      </c>
      <c r="F96" s="338"/>
      <c r="G96" s="149"/>
      <c r="H96" s="339"/>
    </row>
    <row r="97" spans="1:8" s="144" customFormat="1">
      <c r="A97" s="148">
        <v>93</v>
      </c>
      <c r="B97" s="148" t="s">
        <v>558</v>
      </c>
      <c r="C97" s="164" t="s">
        <v>567</v>
      </c>
      <c r="D97" s="336" t="s">
        <v>566</v>
      </c>
      <c r="E97" s="148">
        <v>1</v>
      </c>
      <c r="F97" s="338"/>
      <c r="G97" s="149"/>
      <c r="H97" s="339"/>
    </row>
    <row r="98" spans="1:8" s="144" customFormat="1">
      <c r="A98" s="148">
        <v>94</v>
      </c>
      <c r="B98" s="148" t="s">
        <v>558</v>
      </c>
      <c r="C98" s="164" t="s">
        <v>568</v>
      </c>
      <c r="D98" s="336" t="s">
        <v>566</v>
      </c>
      <c r="E98" s="148">
        <v>1</v>
      </c>
      <c r="F98" s="338"/>
      <c r="G98" s="149"/>
      <c r="H98" s="339"/>
    </row>
    <row r="99" spans="1:8" s="144" customFormat="1">
      <c r="A99" s="148">
        <v>95</v>
      </c>
      <c r="B99" s="148" t="s">
        <v>558</v>
      </c>
      <c r="C99" s="164" t="s">
        <v>569</v>
      </c>
      <c r="D99" s="336" t="s">
        <v>563</v>
      </c>
      <c r="E99" s="148">
        <v>1800</v>
      </c>
      <c r="F99" s="338"/>
      <c r="G99" s="149"/>
      <c r="H99" s="339"/>
    </row>
    <row r="100" spans="1:8" s="144" customFormat="1">
      <c r="A100" s="148">
        <v>96</v>
      </c>
      <c r="B100" s="148" t="s">
        <v>558</v>
      </c>
      <c r="C100" s="164" t="s">
        <v>570</v>
      </c>
      <c r="D100" s="336" t="s">
        <v>566</v>
      </c>
      <c r="E100" s="148">
        <v>1</v>
      </c>
      <c r="F100" s="338"/>
      <c r="G100" s="149"/>
      <c r="H100" s="339"/>
    </row>
    <row r="101" spans="1:8" s="144" customFormat="1" ht="36.65" customHeight="1">
      <c r="A101" s="148">
        <v>97</v>
      </c>
      <c r="B101" s="148" t="s">
        <v>558</v>
      </c>
      <c r="C101" s="164" t="s">
        <v>571</v>
      </c>
      <c r="D101" s="336" t="s">
        <v>566</v>
      </c>
      <c r="E101" s="148">
        <v>1</v>
      </c>
      <c r="F101" s="338"/>
      <c r="G101" s="149"/>
      <c r="H101" s="339"/>
    </row>
    <row r="102" spans="1:8" s="136" customFormat="1">
      <c r="A102" s="148">
        <v>98</v>
      </c>
      <c r="B102" s="148" t="s">
        <v>558</v>
      </c>
      <c r="C102" s="164" t="s">
        <v>572</v>
      </c>
      <c r="D102" s="336" t="s">
        <v>573</v>
      </c>
      <c r="E102" s="148">
        <v>1</v>
      </c>
      <c r="F102" s="338"/>
      <c r="G102" s="149"/>
      <c r="H102" s="339"/>
    </row>
    <row r="103" spans="1:8" s="136" customFormat="1">
      <c r="A103" s="148">
        <v>99</v>
      </c>
      <c r="B103" s="148" t="s">
        <v>558</v>
      </c>
      <c r="C103" s="164" t="s">
        <v>574</v>
      </c>
      <c r="D103" s="336" t="s">
        <v>575</v>
      </c>
      <c r="E103" s="148">
        <v>1</v>
      </c>
      <c r="F103" s="338"/>
      <c r="G103" s="149"/>
      <c r="H103" s="339"/>
    </row>
    <row r="104" spans="1:8" s="136" customFormat="1" ht="27.65" customHeight="1">
      <c r="A104" s="148">
        <v>100</v>
      </c>
      <c r="B104" s="148" t="s">
        <v>558</v>
      </c>
      <c r="C104" s="164" t="s">
        <v>576</v>
      </c>
      <c r="D104" s="148" t="s">
        <v>334</v>
      </c>
      <c r="E104" s="148">
        <v>50</v>
      </c>
      <c r="F104" s="149"/>
      <c r="G104" s="149"/>
      <c r="H104" s="339"/>
    </row>
    <row r="105" spans="1:8" s="136" customFormat="1">
      <c r="A105" s="148">
        <v>101</v>
      </c>
      <c r="B105" s="148" t="s">
        <v>558</v>
      </c>
      <c r="C105" s="148" t="s">
        <v>577</v>
      </c>
      <c r="D105" s="336" t="s">
        <v>101</v>
      </c>
      <c r="E105" s="148">
        <v>21</v>
      </c>
      <c r="F105" s="338"/>
      <c r="G105" s="149"/>
      <c r="H105" s="339"/>
    </row>
    <row r="106" spans="1:8" s="136" customFormat="1">
      <c r="A106" s="148">
        <v>102</v>
      </c>
      <c r="B106" s="148" t="s">
        <v>558</v>
      </c>
      <c r="C106" s="164"/>
      <c r="D106" s="336"/>
      <c r="E106" s="148"/>
      <c r="F106" s="338"/>
      <c r="G106" s="149"/>
      <c r="H106" s="339"/>
    </row>
    <row r="107" spans="1:8" s="136" customFormat="1">
      <c r="A107" s="148">
        <v>103</v>
      </c>
      <c r="B107" s="148" t="s">
        <v>558</v>
      </c>
      <c r="C107" s="164"/>
      <c r="D107" s="336"/>
      <c r="E107" s="148"/>
      <c r="F107" s="338"/>
      <c r="G107" s="149"/>
      <c r="H107" s="339"/>
    </row>
    <row r="108" spans="1:8" s="136" customFormat="1">
      <c r="A108" s="148">
        <v>104</v>
      </c>
      <c r="B108" s="148" t="s">
        <v>558</v>
      </c>
      <c r="C108" s="164"/>
      <c r="D108" s="336"/>
      <c r="E108" s="148"/>
      <c r="F108" s="338"/>
      <c r="G108" s="149"/>
      <c r="H108" s="339"/>
    </row>
    <row r="109" spans="1:8" s="136" customFormat="1">
      <c r="A109" s="148">
        <v>105</v>
      </c>
      <c r="B109" s="148" t="s">
        <v>558</v>
      </c>
      <c r="C109" s="164"/>
      <c r="D109" s="336"/>
      <c r="E109" s="148"/>
      <c r="F109" s="338"/>
      <c r="G109" s="149"/>
      <c r="H109" s="339"/>
    </row>
    <row r="110" spans="1:8" s="136" customFormat="1">
      <c r="A110" s="148">
        <v>106</v>
      </c>
      <c r="B110" s="148" t="s">
        <v>464</v>
      </c>
      <c r="C110" s="148" t="s">
        <v>578</v>
      </c>
      <c r="D110" s="336" t="s">
        <v>461</v>
      </c>
      <c r="E110" s="148">
        <f>4.2/6</f>
        <v>0.70000000000000007</v>
      </c>
      <c r="F110" s="338"/>
      <c r="G110" s="149"/>
      <c r="H110" s="339"/>
    </row>
    <row r="111" spans="1:8" s="136" customFormat="1">
      <c r="A111" s="148">
        <v>107</v>
      </c>
      <c r="B111" s="148" t="s">
        <v>464</v>
      </c>
      <c r="C111" s="148" t="s">
        <v>579</v>
      </c>
      <c r="D111" s="336" t="s">
        <v>101</v>
      </c>
      <c r="E111" s="148">
        <v>0.86</v>
      </c>
      <c r="F111" s="338"/>
      <c r="G111" s="149"/>
      <c r="H111" s="339"/>
    </row>
    <row r="112" spans="1:8" s="136" customFormat="1">
      <c r="A112" s="148">
        <v>108</v>
      </c>
      <c r="B112" s="148" t="s">
        <v>464</v>
      </c>
      <c r="C112" s="148" t="s">
        <v>580</v>
      </c>
      <c r="D112" s="336" t="s">
        <v>101</v>
      </c>
      <c r="E112" s="148">
        <v>0.2</v>
      </c>
      <c r="F112" s="338"/>
      <c r="G112" s="149"/>
      <c r="H112" s="339"/>
    </row>
    <row r="113" spans="1:8" s="136" customFormat="1">
      <c r="A113" s="148">
        <v>109</v>
      </c>
      <c r="B113" s="148" t="s">
        <v>464</v>
      </c>
      <c r="C113" s="148" t="s">
        <v>581</v>
      </c>
      <c r="D113" s="336" t="s">
        <v>101</v>
      </c>
      <c r="E113" s="148">
        <v>0.2</v>
      </c>
      <c r="F113" s="338"/>
      <c r="G113" s="149"/>
      <c r="H113" s="339"/>
    </row>
    <row r="114" spans="1:8" s="136" customFormat="1">
      <c r="A114" s="148">
        <v>110</v>
      </c>
      <c r="B114" s="148" t="s">
        <v>532</v>
      </c>
      <c r="C114" s="148" t="s">
        <v>582</v>
      </c>
      <c r="D114" s="336" t="s">
        <v>461</v>
      </c>
      <c r="E114" s="148">
        <v>0.01</v>
      </c>
      <c r="F114" s="338"/>
      <c r="G114" s="149"/>
      <c r="H114" s="339"/>
    </row>
    <row r="115" spans="1:8" s="136" customFormat="1">
      <c r="A115" s="148">
        <v>111</v>
      </c>
      <c r="B115" s="148" t="s">
        <v>532</v>
      </c>
      <c r="C115" s="148" t="s">
        <v>583</v>
      </c>
      <c r="D115" s="336" t="s">
        <v>461</v>
      </c>
      <c r="E115" s="148">
        <v>0.01</v>
      </c>
      <c r="F115" s="338"/>
      <c r="G115" s="149"/>
      <c r="H115" s="339"/>
    </row>
    <row r="116" spans="1:8" s="136" customFormat="1">
      <c r="A116" s="148">
        <v>112</v>
      </c>
      <c r="B116" s="148" t="s">
        <v>459</v>
      </c>
      <c r="C116" s="148" t="s">
        <v>584</v>
      </c>
      <c r="D116" s="336" t="s">
        <v>461</v>
      </c>
      <c r="E116" s="148">
        <v>0.67</v>
      </c>
      <c r="F116" s="338"/>
      <c r="G116" s="149"/>
      <c r="H116" s="339"/>
    </row>
    <row r="117" spans="1:8" s="136" customFormat="1">
      <c r="A117" s="148">
        <v>113</v>
      </c>
      <c r="B117" s="148" t="s">
        <v>459</v>
      </c>
      <c r="C117" s="148" t="s">
        <v>585</v>
      </c>
      <c r="D117" s="336" t="s">
        <v>461</v>
      </c>
      <c r="E117" s="148">
        <v>0.64</v>
      </c>
      <c r="F117" s="338"/>
      <c r="G117" s="149"/>
      <c r="H117" s="339"/>
    </row>
    <row r="118" spans="1:8" s="136" customFormat="1" ht="42">
      <c r="A118" s="148">
        <v>114</v>
      </c>
      <c r="B118" s="148" t="s">
        <v>586</v>
      </c>
      <c r="C118" s="164" t="s">
        <v>587</v>
      </c>
      <c r="D118" s="148" t="s">
        <v>101</v>
      </c>
      <c r="E118" s="148">
        <v>150</v>
      </c>
      <c r="F118" s="149"/>
      <c r="G118" s="149"/>
      <c r="H118" s="339"/>
    </row>
    <row r="119" spans="1:8" s="136" customFormat="1">
      <c r="A119" s="148">
        <v>115</v>
      </c>
      <c r="B119" s="148" t="s">
        <v>470</v>
      </c>
      <c r="C119" s="148" t="s">
        <v>588</v>
      </c>
      <c r="D119" s="336" t="s">
        <v>101</v>
      </c>
      <c r="E119" s="148">
        <v>1</v>
      </c>
      <c r="F119" s="338"/>
      <c r="G119" s="149"/>
      <c r="H119" s="339"/>
    </row>
    <row r="120" spans="1:8" s="136" customFormat="1">
      <c r="A120" s="148">
        <v>116</v>
      </c>
      <c r="B120" s="148" t="s">
        <v>464</v>
      </c>
      <c r="C120" s="148" t="s">
        <v>589</v>
      </c>
      <c r="D120" s="336" t="s">
        <v>101</v>
      </c>
      <c r="E120" s="148">
        <v>0.1</v>
      </c>
      <c r="F120" s="338"/>
      <c r="G120" s="149"/>
      <c r="H120" s="339"/>
    </row>
    <row r="121" spans="1:8" s="136" customFormat="1">
      <c r="A121" s="148">
        <v>117</v>
      </c>
      <c r="B121" s="148" t="s">
        <v>532</v>
      </c>
      <c r="C121" s="148" t="s">
        <v>590</v>
      </c>
      <c r="D121" s="336" t="s">
        <v>461</v>
      </c>
      <c r="E121" s="148">
        <v>0.01</v>
      </c>
      <c r="F121" s="338"/>
      <c r="G121" s="149"/>
      <c r="H121" s="339"/>
    </row>
    <row r="122" spans="1:8" s="136" customFormat="1">
      <c r="A122" s="148">
        <v>118</v>
      </c>
      <c r="B122" s="148" t="s">
        <v>468</v>
      </c>
      <c r="C122" s="148" t="s">
        <v>591</v>
      </c>
      <c r="D122" s="336" t="s">
        <v>101</v>
      </c>
      <c r="E122" s="148">
        <v>1.21</v>
      </c>
      <c r="F122" s="338"/>
      <c r="G122" s="149"/>
      <c r="H122" s="339"/>
    </row>
    <row r="123" spans="1:8" s="136" customFormat="1">
      <c r="A123" s="148">
        <v>119</v>
      </c>
      <c r="B123" s="148" t="s">
        <v>474</v>
      </c>
      <c r="C123" s="148" t="s">
        <v>592</v>
      </c>
      <c r="D123" s="336" t="s">
        <v>101</v>
      </c>
      <c r="E123" s="148">
        <v>0.24</v>
      </c>
      <c r="F123" s="338"/>
      <c r="G123" s="149"/>
      <c r="H123" s="339"/>
    </row>
    <row r="124" spans="1:8" s="136" customFormat="1">
      <c r="A124" s="148">
        <v>120</v>
      </c>
      <c r="B124" s="148" t="s">
        <v>534</v>
      </c>
      <c r="C124" s="148" t="s">
        <v>593</v>
      </c>
      <c r="D124" s="336" t="s">
        <v>101</v>
      </c>
      <c r="E124" s="148">
        <v>6.8000000000000005E-2</v>
      </c>
      <c r="F124" s="338"/>
      <c r="G124" s="149"/>
      <c r="H124" s="339"/>
    </row>
    <row r="125" spans="1:8" s="136" customFormat="1">
      <c r="A125" s="148">
        <v>121</v>
      </c>
      <c r="B125" s="148" t="s">
        <v>534</v>
      </c>
      <c r="C125" s="148" t="s">
        <v>594</v>
      </c>
      <c r="D125" s="336" t="s">
        <v>101</v>
      </c>
      <c r="E125" s="148">
        <v>5.8999999999999997E-2</v>
      </c>
      <c r="F125" s="338"/>
      <c r="G125" s="149"/>
      <c r="H125" s="339"/>
    </row>
    <row r="126" spans="1:8" s="136" customFormat="1">
      <c r="A126" s="148">
        <v>122</v>
      </c>
      <c r="B126" s="148" t="s">
        <v>534</v>
      </c>
      <c r="C126" s="148" t="s">
        <v>595</v>
      </c>
      <c r="D126" s="336" t="s">
        <v>101</v>
      </c>
      <c r="E126" s="148">
        <v>0.03</v>
      </c>
      <c r="F126" s="338"/>
      <c r="G126" s="149"/>
      <c r="H126" s="339"/>
    </row>
    <row r="127" spans="1:8" s="136" customFormat="1">
      <c r="A127" s="148">
        <v>123</v>
      </c>
      <c r="B127" s="148" t="s">
        <v>459</v>
      </c>
      <c r="C127" s="148" t="s">
        <v>596</v>
      </c>
      <c r="D127" s="336" t="s">
        <v>101</v>
      </c>
      <c r="E127" s="148">
        <v>0.01</v>
      </c>
      <c r="F127" s="338"/>
      <c r="G127" s="149"/>
      <c r="H127" s="339"/>
    </row>
    <row r="128" spans="1:8" s="136" customFormat="1">
      <c r="A128" s="148">
        <v>124</v>
      </c>
      <c r="B128" s="148" t="s">
        <v>459</v>
      </c>
      <c r="C128" s="148" t="s">
        <v>597</v>
      </c>
      <c r="D128" s="336" t="s">
        <v>461</v>
      </c>
      <c r="E128" s="148">
        <v>3.4000000000000002E-2</v>
      </c>
      <c r="F128" s="338"/>
      <c r="G128" s="149"/>
      <c r="H128" s="339"/>
    </row>
    <row r="129" spans="1:8" s="136" customFormat="1">
      <c r="A129" s="148">
        <v>125</v>
      </c>
      <c r="B129" s="148" t="s">
        <v>532</v>
      </c>
      <c r="C129" s="148" t="s">
        <v>598</v>
      </c>
      <c r="D129" s="336" t="s">
        <v>101</v>
      </c>
      <c r="E129" s="148">
        <v>1E-3</v>
      </c>
      <c r="F129" s="338"/>
      <c r="G129" s="149"/>
      <c r="H129" s="339"/>
    </row>
    <row r="130" spans="1:8" s="136" customFormat="1">
      <c r="A130" s="148">
        <v>126</v>
      </c>
      <c r="B130" s="148" t="s">
        <v>534</v>
      </c>
      <c r="C130" s="148" t="s">
        <v>599</v>
      </c>
      <c r="D130" s="336" t="s">
        <v>101</v>
      </c>
      <c r="E130" s="148">
        <v>0.05</v>
      </c>
      <c r="F130" s="338"/>
      <c r="G130" s="149"/>
      <c r="H130" s="339"/>
    </row>
    <row r="131" spans="1:8" s="136" customFormat="1" ht="28">
      <c r="A131" s="148">
        <v>127</v>
      </c>
      <c r="B131" s="148" t="s">
        <v>532</v>
      </c>
      <c r="C131" s="164" t="s">
        <v>600</v>
      </c>
      <c r="D131" s="148" t="s">
        <v>101</v>
      </c>
      <c r="E131" s="148">
        <v>5</v>
      </c>
      <c r="F131" s="338"/>
      <c r="G131" s="149"/>
      <c r="H131" s="339"/>
    </row>
    <row r="132" spans="1:8" s="136" customFormat="1">
      <c r="A132" s="148">
        <v>128</v>
      </c>
      <c r="B132" s="148" t="s">
        <v>532</v>
      </c>
      <c r="C132" s="148" t="s">
        <v>601</v>
      </c>
      <c r="D132" s="336" t="s">
        <v>461</v>
      </c>
      <c r="E132" s="148">
        <v>1</v>
      </c>
      <c r="F132" s="338"/>
      <c r="G132" s="149"/>
      <c r="H132" s="339"/>
    </row>
    <row r="133" spans="1:8" s="136" customFormat="1">
      <c r="A133" s="148">
        <v>129</v>
      </c>
      <c r="B133" s="148" t="s">
        <v>464</v>
      </c>
      <c r="C133" s="148" t="s">
        <v>602</v>
      </c>
      <c r="D133" s="336" t="s">
        <v>101</v>
      </c>
      <c r="E133" s="148">
        <v>0.1</v>
      </c>
      <c r="F133" s="338"/>
      <c r="G133" s="149"/>
      <c r="H133" s="339"/>
    </row>
    <row r="134" spans="1:8" s="136" customFormat="1">
      <c r="A134" s="148">
        <v>130</v>
      </c>
      <c r="B134" s="148" t="s">
        <v>464</v>
      </c>
      <c r="C134" s="148" t="s">
        <v>603</v>
      </c>
      <c r="D134" s="336" t="s">
        <v>101</v>
      </c>
      <c r="E134" s="148">
        <v>0.1</v>
      </c>
      <c r="F134" s="338"/>
      <c r="G134" s="149"/>
      <c r="H134" s="339"/>
    </row>
    <row r="135" spans="1:8" s="136" customFormat="1">
      <c r="A135" s="148">
        <v>131</v>
      </c>
      <c r="B135" s="148" t="s">
        <v>459</v>
      </c>
      <c r="C135" s="148" t="s">
        <v>604</v>
      </c>
      <c r="D135" s="336" t="s">
        <v>461</v>
      </c>
      <c r="E135" s="148">
        <v>5.8200000000000002E-2</v>
      </c>
      <c r="F135" s="338"/>
      <c r="G135" s="149"/>
      <c r="H135" s="339"/>
    </row>
    <row r="136" spans="1:8" s="136" customFormat="1">
      <c r="A136" s="148">
        <v>132</v>
      </c>
      <c r="B136" s="148" t="s">
        <v>459</v>
      </c>
      <c r="C136" s="148" t="s">
        <v>605</v>
      </c>
      <c r="D136" s="336" t="s">
        <v>461</v>
      </c>
      <c r="E136" s="148">
        <f>2.95/50</f>
        <v>5.9000000000000004E-2</v>
      </c>
      <c r="F136" s="338"/>
      <c r="G136" s="149"/>
      <c r="H136" s="339"/>
    </row>
    <row r="137" spans="1:8" s="136" customFormat="1">
      <c r="A137" s="148">
        <v>133</v>
      </c>
      <c r="B137" s="148" t="s">
        <v>464</v>
      </c>
      <c r="C137" s="148" t="s">
        <v>606</v>
      </c>
      <c r="D137" s="336" t="s">
        <v>101</v>
      </c>
      <c r="E137" s="148">
        <v>0.18</v>
      </c>
      <c r="F137" s="338"/>
      <c r="G137" s="149"/>
      <c r="H137" s="339"/>
    </row>
    <row r="138" spans="1:8" s="136" customFormat="1">
      <c r="A138" s="148">
        <v>134</v>
      </c>
      <c r="B138" s="148" t="s">
        <v>464</v>
      </c>
      <c r="C138" s="148" t="s">
        <v>607</v>
      </c>
      <c r="D138" s="336" t="s">
        <v>461</v>
      </c>
      <c r="E138" s="341">
        <f>5.17/3</f>
        <v>1.7233333333333334</v>
      </c>
      <c r="F138" s="338"/>
      <c r="G138" s="149"/>
      <c r="H138" s="339"/>
    </row>
    <row r="139" spans="1:8" s="136" customFormat="1">
      <c r="A139" s="148">
        <v>135</v>
      </c>
      <c r="B139" s="148" t="s">
        <v>504</v>
      </c>
      <c r="C139" s="148" t="s">
        <v>608</v>
      </c>
      <c r="D139" s="336" t="s">
        <v>101</v>
      </c>
      <c r="E139" s="148">
        <v>0.5</v>
      </c>
      <c r="F139" s="338"/>
      <c r="G139" s="149"/>
      <c r="H139" s="339"/>
    </row>
    <row r="140" spans="1:8" s="136" customFormat="1">
      <c r="A140" s="148">
        <v>136</v>
      </c>
      <c r="B140" s="148" t="s">
        <v>470</v>
      </c>
      <c r="C140" s="148" t="s">
        <v>609</v>
      </c>
      <c r="D140" s="336" t="s">
        <v>101</v>
      </c>
      <c r="E140" s="148">
        <v>1</v>
      </c>
      <c r="F140" s="338"/>
      <c r="G140" s="149"/>
      <c r="H140" s="339"/>
    </row>
    <row r="141" spans="1:8" s="136" customFormat="1">
      <c r="A141" s="148">
        <v>137</v>
      </c>
      <c r="B141" s="148" t="s">
        <v>464</v>
      </c>
      <c r="C141" s="148" t="s">
        <v>610</v>
      </c>
      <c r="D141" s="336" t="s">
        <v>461</v>
      </c>
      <c r="E141" s="148">
        <v>0.1</v>
      </c>
      <c r="F141" s="338"/>
      <c r="G141" s="149"/>
      <c r="H141" s="339"/>
    </row>
    <row r="142" spans="1:8" s="136" customFormat="1">
      <c r="A142" s="148">
        <v>138</v>
      </c>
      <c r="B142" s="148" t="s">
        <v>532</v>
      </c>
      <c r="C142" s="148" t="s">
        <v>611</v>
      </c>
      <c r="D142" s="336" t="s">
        <v>101</v>
      </c>
      <c r="E142" s="148">
        <v>0.2</v>
      </c>
      <c r="F142" s="338"/>
      <c r="G142" s="149"/>
      <c r="H142" s="339"/>
    </row>
    <row r="143" spans="1:8" s="136" customFormat="1" ht="77.5" customHeight="1">
      <c r="A143" s="148">
        <v>139</v>
      </c>
      <c r="B143" s="148" t="s">
        <v>468</v>
      </c>
      <c r="C143" s="164" t="s">
        <v>612</v>
      </c>
      <c r="D143" s="148" t="s">
        <v>101</v>
      </c>
      <c r="E143" s="148">
        <v>15</v>
      </c>
      <c r="F143" s="338"/>
      <c r="G143" s="149"/>
      <c r="H143" s="339"/>
    </row>
    <row r="144" spans="1:8" s="136" customFormat="1">
      <c r="A144" s="148">
        <v>140</v>
      </c>
      <c r="B144" s="148" t="s">
        <v>532</v>
      </c>
      <c r="C144" s="148" t="s">
        <v>613</v>
      </c>
      <c r="D144" s="336" t="s">
        <v>495</v>
      </c>
      <c r="E144" s="148">
        <v>0.01</v>
      </c>
      <c r="F144" s="338"/>
      <c r="G144" s="149"/>
      <c r="H144" s="339"/>
    </row>
    <row r="145" spans="1:8" s="136" customFormat="1">
      <c r="A145" s="148">
        <v>141</v>
      </c>
      <c r="B145" s="148" t="s">
        <v>532</v>
      </c>
      <c r="C145" s="148" t="s">
        <v>614</v>
      </c>
      <c r="D145" s="336" t="s">
        <v>101</v>
      </c>
      <c r="E145" s="148">
        <v>5.0000000000000001E-3</v>
      </c>
      <c r="F145" s="338"/>
      <c r="G145" s="149"/>
      <c r="H145" s="339"/>
    </row>
    <row r="146" spans="1:8" s="136" customFormat="1">
      <c r="A146" s="148">
        <v>142</v>
      </c>
      <c r="B146" s="148" t="s">
        <v>474</v>
      </c>
      <c r="C146" s="148" t="s">
        <v>615</v>
      </c>
      <c r="D146" s="336" t="s">
        <v>101</v>
      </c>
      <c r="E146" s="148">
        <v>0.24</v>
      </c>
      <c r="F146" s="338"/>
      <c r="G146" s="149"/>
      <c r="H146" s="339"/>
    </row>
    <row r="147" spans="1:8" s="136" customFormat="1">
      <c r="A147" s="148">
        <v>143</v>
      </c>
      <c r="B147" s="148" t="s">
        <v>474</v>
      </c>
      <c r="C147" s="148" t="s">
        <v>616</v>
      </c>
      <c r="D147" s="336" t="s">
        <v>101</v>
      </c>
      <c r="E147" s="148">
        <v>0.3</v>
      </c>
      <c r="F147" s="338"/>
      <c r="G147" s="149"/>
      <c r="H147" s="339"/>
    </row>
    <row r="148" spans="1:8" s="136" customFormat="1">
      <c r="A148" s="148">
        <v>144</v>
      </c>
      <c r="B148" s="148" t="s">
        <v>474</v>
      </c>
      <c r="C148" s="148" t="s">
        <v>617</v>
      </c>
      <c r="D148" s="336" t="s">
        <v>101</v>
      </c>
      <c r="E148" s="148">
        <v>0.16</v>
      </c>
      <c r="F148" s="338"/>
      <c r="G148" s="149"/>
      <c r="H148" s="339"/>
    </row>
    <row r="149" spans="1:8" s="136" customFormat="1">
      <c r="A149" s="148">
        <v>145</v>
      </c>
      <c r="B149" s="148" t="s">
        <v>459</v>
      </c>
      <c r="C149" s="148" t="s">
        <v>618</v>
      </c>
      <c r="D149" s="336" t="s">
        <v>461</v>
      </c>
      <c r="E149" s="148">
        <v>0.4</v>
      </c>
      <c r="F149" s="338"/>
      <c r="G149" s="149"/>
      <c r="H149" s="339"/>
    </row>
    <row r="150" spans="1:8" s="136" customFormat="1">
      <c r="A150" s="148">
        <v>146</v>
      </c>
      <c r="B150" s="148" t="s">
        <v>459</v>
      </c>
      <c r="C150" s="148" t="s">
        <v>619</v>
      </c>
      <c r="D150" s="336" t="s">
        <v>461</v>
      </c>
      <c r="E150" s="148">
        <v>0.35899999999999999</v>
      </c>
      <c r="F150" s="338"/>
      <c r="G150" s="149"/>
      <c r="H150" s="339"/>
    </row>
    <row r="151" spans="1:8" s="136" customFormat="1">
      <c r="A151" s="148">
        <v>147</v>
      </c>
      <c r="B151" s="148" t="s">
        <v>457</v>
      </c>
      <c r="C151" s="148" t="s">
        <v>620</v>
      </c>
      <c r="D151" s="336" t="s">
        <v>101</v>
      </c>
      <c r="E151" s="148">
        <v>2.5</v>
      </c>
      <c r="F151" s="338"/>
      <c r="G151" s="149"/>
      <c r="H151" s="339"/>
    </row>
    <row r="152" spans="1:8" s="136" customFormat="1" ht="28">
      <c r="A152" s="148">
        <v>148</v>
      </c>
      <c r="B152" s="148" t="s">
        <v>457</v>
      </c>
      <c r="C152" s="164" t="s">
        <v>621</v>
      </c>
      <c r="D152" s="148" t="s">
        <v>101</v>
      </c>
      <c r="E152" s="148">
        <v>45</v>
      </c>
      <c r="F152" s="338"/>
      <c r="G152" s="149"/>
      <c r="H152" s="339"/>
    </row>
    <row r="153" spans="1:8" s="136" customFormat="1">
      <c r="A153" s="148">
        <v>149</v>
      </c>
      <c r="B153" s="148" t="s">
        <v>457</v>
      </c>
      <c r="C153" s="164" t="s">
        <v>622</v>
      </c>
      <c r="D153" s="336" t="s">
        <v>101</v>
      </c>
      <c r="E153" s="148">
        <v>4.5999999999999996</v>
      </c>
      <c r="F153" s="338"/>
      <c r="G153" s="149"/>
      <c r="H153" s="339"/>
    </row>
    <row r="154" spans="1:8" s="136" customFormat="1">
      <c r="A154" s="148">
        <v>150</v>
      </c>
      <c r="B154" s="148" t="s">
        <v>558</v>
      </c>
      <c r="C154" s="148" t="s">
        <v>623</v>
      </c>
      <c r="D154" s="336" t="s">
        <v>566</v>
      </c>
      <c r="E154" s="148">
        <v>1</v>
      </c>
      <c r="F154" s="338"/>
      <c r="G154" s="149"/>
      <c r="H154" s="339"/>
    </row>
    <row r="155" spans="1:8" s="136" customFormat="1">
      <c r="A155" s="148">
        <v>151</v>
      </c>
      <c r="B155" s="148" t="s">
        <v>558</v>
      </c>
      <c r="C155" s="148" t="s">
        <v>624</v>
      </c>
      <c r="D155" s="336" t="s">
        <v>101</v>
      </c>
      <c r="E155" s="148">
        <v>40</v>
      </c>
      <c r="F155" s="338"/>
      <c r="G155" s="149"/>
      <c r="H155" s="339"/>
    </row>
    <row r="156" spans="1:8" s="136" customFormat="1">
      <c r="A156" s="148">
        <v>152</v>
      </c>
      <c r="B156" s="148" t="s">
        <v>520</v>
      </c>
      <c r="C156" s="148" t="s">
        <v>625</v>
      </c>
      <c r="D156" s="336" t="s">
        <v>101</v>
      </c>
      <c r="E156" s="148">
        <v>2</v>
      </c>
      <c r="F156" s="338"/>
      <c r="G156" s="149"/>
      <c r="H156" s="339"/>
    </row>
    <row r="157" spans="1:8" s="136" customFormat="1">
      <c r="A157" s="148">
        <v>153</v>
      </c>
      <c r="B157" s="148" t="s">
        <v>464</v>
      </c>
      <c r="C157" s="148" t="s">
        <v>626</v>
      </c>
      <c r="D157" s="336" t="s">
        <v>461</v>
      </c>
      <c r="E157" s="148">
        <v>0.5</v>
      </c>
      <c r="F157" s="338"/>
      <c r="G157" s="149"/>
      <c r="H157" s="339"/>
    </row>
    <row r="158" spans="1:8" s="136" customFormat="1">
      <c r="A158" s="148">
        <v>154</v>
      </c>
      <c r="B158" s="148" t="s">
        <v>464</v>
      </c>
      <c r="C158" s="148" t="s">
        <v>627</v>
      </c>
      <c r="D158" s="336" t="s">
        <v>101</v>
      </c>
      <c r="E158" s="148">
        <v>0.1</v>
      </c>
      <c r="F158" s="338"/>
      <c r="G158" s="149"/>
      <c r="H158" s="339"/>
    </row>
    <row r="159" spans="1:8" s="136" customFormat="1">
      <c r="A159" s="148">
        <v>155</v>
      </c>
      <c r="B159" s="148" t="s">
        <v>464</v>
      </c>
      <c r="C159" s="148" t="s">
        <v>628</v>
      </c>
      <c r="D159" s="336" t="s">
        <v>101</v>
      </c>
      <c r="E159" s="148">
        <v>0.19</v>
      </c>
      <c r="F159" s="338"/>
      <c r="G159" s="149"/>
      <c r="H159" s="339"/>
    </row>
    <row r="160" spans="1:8" s="136" customFormat="1">
      <c r="A160" s="148">
        <v>156</v>
      </c>
      <c r="B160" s="148" t="s">
        <v>470</v>
      </c>
      <c r="C160" s="148" t="s">
        <v>629</v>
      </c>
      <c r="D160" s="336" t="s">
        <v>101</v>
      </c>
      <c r="E160" s="148">
        <v>1.2</v>
      </c>
      <c r="F160" s="338"/>
      <c r="G160" s="149"/>
      <c r="H160" s="339"/>
    </row>
    <row r="161" spans="1:8" s="136" customFormat="1">
      <c r="A161" s="148">
        <v>157</v>
      </c>
      <c r="B161" s="148" t="s">
        <v>470</v>
      </c>
      <c r="C161" s="148" t="s">
        <v>630</v>
      </c>
      <c r="D161" s="336" t="s">
        <v>101</v>
      </c>
      <c r="E161" s="148">
        <v>3.5</v>
      </c>
      <c r="F161" s="338"/>
      <c r="G161" s="149"/>
      <c r="H161" s="339"/>
    </row>
    <row r="162" spans="1:8" s="136" customFormat="1">
      <c r="A162" s="148">
        <v>158</v>
      </c>
      <c r="B162" s="148" t="s">
        <v>470</v>
      </c>
      <c r="C162" s="148" t="s">
        <v>631</v>
      </c>
      <c r="D162" s="336" t="s">
        <v>101</v>
      </c>
      <c r="E162" s="148">
        <v>0.5</v>
      </c>
      <c r="F162" s="338"/>
      <c r="G162" s="149"/>
      <c r="H162" s="339"/>
    </row>
    <row r="163" spans="1:8" s="136" customFormat="1">
      <c r="A163" s="148">
        <v>159</v>
      </c>
      <c r="B163" s="148" t="s">
        <v>474</v>
      </c>
      <c r="C163" s="148" t="s">
        <v>632</v>
      </c>
      <c r="D163" s="336" t="s">
        <v>101</v>
      </c>
      <c r="E163" s="148">
        <v>0.35</v>
      </c>
      <c r="F163" s="338"/>
      <c r="G163" s="149"/>
      <c r="H163" s="339"/>
    </row>
    <row r="164" spans="1:8" s="136" customFormat="1">
      <c r="A164" s="148">
        <v>160</v>
      </c>
      <c r="B164" s="148" t="s">
        <v>474</v>
      </c>
      <c r="C164" s="148" t="s">
        <v>633</v>
      </c>
      <c r="D164" s="336" t="s">
        <v>101</v>
      </c>
      <c r="E164" s="148">
        <v>0.3</v>
      </c>
      <c r="F164" s="338"/>
      <c r="G164" s="149"/>
      <c r="H164" s="339"/>
    </row>
    <row r="165" spans="1:8" s="136" customFormat="1">
      <c r="A165" s="148">
        <v>161</v>
      </c>
      <c r="B165" s="148" t="s">
        <v>474</v>
      </c>
      <c r="C165" s="148" t="s">
        <v>634</v>
      </c>
      <c r="D165" s="336" t="s">
        <v>101</v>
      </c>
      <c r="E165" s="148">
        <v>0.3</v>
      </c>
      <c r="F165" s="338"/>
      <c r="G165" s="149"/>
      <c r="H165" s="339"/>
    </row>
    <row r="166" spans="1:8" s="136" customFormat="1">
      <c r="A166" s="148">
        <v>162</v>
      </c>
      <c r="B166" s="148" t="s">
        <v>470</v>
      </c>
      <c r="C166" s="148" t="s">
        <v>635</v>
      </c>
      <c r="D166" s="336" t="s">
        <v>101</v>
      </c>
      <c r="E166" s="148">
        <v>0.5</v>
      </c>
      <c r="F166" s="338"/>
      <c r="G166" s="149"/>
      <c r="H166" s="339"/>
    </row>
    <row r="167" spans="1:8" s="136" customFormat="1" ht="42">
      <c r="A167" s="148">
        <v>163</v>
      </c>
      <c r="B167" s="148" t="s">
        <v>457</v>
      </c>
      <c r="C167" s="164" t="s">
        <v>636</v>
      </c>
      <c r="D167" s="148" t="s">
        <v>101</v>
      </c>
      <c r="E167" s="148">
        <v>3</v>
      </c>
      <c r="F167" s="338"/>
      <c r="G167" s="149"/>
      <c r="H167" s="339"/>
    </row>
    <row r="168" spans="1:8" s="136" customFormat="1">
      <c r="A168" s="148">
        <v>164</v>
      </c>
      <c r="B168" s="148" t="s">
        <v>470</v>
      </c>
      <c r="C168" s="148" t="s">
        <v>637</v>
      </c>
      <c r="D168" s="336" t="s">
        <v>101</v>
      </c>
      <c r="E168" s="148">
        <v>2.1</v>
      </c>
      <c r="F168" s="338"/>
      <c r="G168" s="149"/>
      <c r="H168" s="339"/>
    </row>
    <row r="169" spans="1:8" s="136" customFormat="1">
      <c r="A169" s="148">
        <v>165</v>
      </c>
      <c r="B169" s="148" t="s">
        <v>459</v>
      </c>
      <c r="C169" s="148" t="s">
        <v>638</v>
      </c>
      <c r="D169" s="336" t="s">
        <v>461</v>
      </c>
      <c r="E169" s="148">
        <v>0.152</v>
      </c>
      <c r="F169" s="338"/>
      <c r="G169" s="149"/>
      <c r="H169" s="339"/>
    </row>
    <row r="170" spans="1:8" s="136" customFormat="1">
      <c r="A170" s="148">
        <v>166</v>
      </c>
      <c r="B170" s="148" t="s">
        <v>459</v>
      </c>
      <c r="C170" s="148" t="s">
        <v>639</v>
      </c>
      <c r="D170" s="336" t="s">
        <v>461</v>
      </c>
      <c r="E170" s="148">
        <v>0.23499999999999999</v>
      </c>
      <c r="F170" s="338"/>
      <c r="G170" s="149"/>
      <c r="H170" s="339"/>
    </row>
    <row r="171" spans="1:8" s="136" customFormat="1">
      <c r="A171" s="148">
        <v>167</v>
      </c>
      <c r="B171" s="148" t="s">
        <v>459</v>
      </c>
      <c r="C171" s="148" t="s">
        <v>640</v>
      </c>
      <c r="D171" s="336" t="s">
        <v>461</v>
      </c>
      <c r="E171" s="148">
        <v>0.55200000000000005</v>
      </c>
      <c r="F171" s="338"/>
      <c r="G171" s="149"/>
      <c r="H171" s="339"/>
    </row>
    <row r="172" spans="1:8" s="136" customFormat="1">
      <c r="A172" s="148">
        <v>168</v>
      </c>
      <c r="B172" s="148" t="s">
        <v>470</v>
      </c>
      <c r="C172" s="148" t="s">
        <v>641</v>
      </c>
      <c r="D172" s="336" t="s">
        <v>101</v>
      </c>
      <c r="E172" s="148">
        <v>0.35</v>
      </c>
      <c r="F172" s="338"/>
      <c r="G172" s="149"/>
      <c r="H172" s="339"/>
    </row>
    <row r="173" spans="1:8" s="136" customFormat="1">
      <c r="A173" s="148">
        <v>169</v>
      </c>
      <c r="B173" s="148" t="s">
        <v>474</v>
      </c>
      <c r="C173" s="148" t="s">
        <v>642</v>
      </c>
      <c r="D173" s="336" t="s">
        <v>101</v>
      </c>
      <c r="E173" s="148">
        <v>0.24</v>
      </c>
      <c r="F173" s="338"/>
      <c r="G173" s="149"/>
      <c r="H173" s="339"/>
    </row>
    <row r="174" spans="1:8" s="136" customFormat="1">
      <c r="A174" s="148">
        <v>170</v>
      </c>
      <c r="B174" s="148" t="s">
        <v>470</v>
      </c>
      <c r="C174" s="148" t="s">
        <v>643</v>
      </c>
      <c r="D174" s="336" t="s">
        <v>101</v>
      </c>
      <c r="E174" s="148">
        <v>0.5</v>
      </c>
      <c r="F174" s="338"/>
      <c r="G174" s="149"/>
      <c r="H174" s="339"/>
    </row>
    <row r="175" spans="1:8" s="136" customFormat="1">
      <c r="A175" s="148">
        <v>171</v>
      </c>
      <c r="B175" s="148" t="s">
        <v>474</v>
      </c>
      <c r="C175" s="148" t="s">
        <v>644</v>
      </c>
      <c r="D175" s="336" t="s">
        <v>101</v>
      </c>
      <c r="E175" s="148">
        <v>0.3</v>
      </c>
      <c r="F175" s="338"/>
      <c r="G175" s="149"/>
      <c r="H175" s="339"/>
    </row>
    <row r="176" spans="1:8" s="136" customFormat="1">
      <c r="A176" s="148">
        <v>172</v>
      </c>
      <c r="B176" s="148" t="s">
        <v>464</v>
      </c>
      <c r="C176" s="148" t="s">
        <v>645</v>
      </c>
      <c r="D176" s="336" t="s">
        <v>461</v>
      </c>
      <c r="E176" s="148">
        <v>0.4</v>
      </c>
      <c r="F176" s="338"/>
      <c r="G176" s="149"/>
      <c r="H176" s="339"/>
    </row>
    <row r="177" spans="1:8" s="136" customFormat="1">
      <c r="A177" s="148">
        <v>173</v>
      </c>
      <c r="B177" s="148" t="s">
        <v>459</v>
      </c>
      <c r="C177" s="148" t="s">
        <v>646</v>
      </c>
      <c r="D177" s="336" t="s">
        <v>461</v>
      </c>
      <c r="E177" s="148">
        <v>0.14599999999999999</v>
      </c>
      <c r="F177" s="338"/>
      <c r="G177" s="149"/>
      <c r="H177" s="339"/>
    </row>
    <row r="178" spans="1:8" s="136" customFormat="1">
      <c r="A178" s="148">
        <v>174</v>
      </c>
      <c r="B178" s="148" t="s">
        <v>470</v>
      </c>
      <c r="C178" s="148" t="s">
        <v>647</v>
      </c>
      <c r="D178" s="336" t="s">
        <v>101</v>
      </c>
      <c r="E178" s="148">
        <v>0.2</v>
      </c>
      <c r="F178" s="338"/>
      <c r="G178" s="149"/>
      <c r="H178" s="339"/>
    </row>
    <row r="179" spans="1:8" s="136" customFormat="1">
      <c r="A179" s="148">
        <v>175</v>
      </c>
      <c r="B179" s="148" t="s">
        <v>457</v>
      </c>
      <c r="C179" s="148" t="s">
        <v>648</v>
      </c>
      <c r="D179" s="148" t="s">
        <v>101</v>
      </c>
      <c r="E179" s="148">
        <v>30</v>
      </c>
      <c r="F179" s="338"/>
      <c r="G179" s="149"/>
      <c r="H179" s="339"/>
    </row>
    <row r="180" spans="1:8" s="136" customFormat="1" ht="42">
      <c r="A180" s="148">
        <v>176</v>
      </c>
      <c r="B180" s="148" t="s">
        <v>457</v>
      </c>
      <c r="C180" s="164" t="s">
        <v>649</v>
      </c>
      <c r="D180" s="148" t="s">
        <v>101</v>
      </c>
      <c r="E180" s="148">
        <v>3</v>
      </c>
      <c r="F180" s="338"/>
      <c r="G180" s="149"/>
      <c r="H180" s="339"/>
    </row>
    <row r="181" spans="1:8" s="136" customFormat="1">
      <c r="A181" s="148">
        <v>177</v>
      </c>
      <c r="B181" s="148" t="s">
        <v>470</v>
      </c>
      <c r="C181" s="148" t="s">
        <v>650</v>
      </c>
      <c r="D181" s="336" t="s">
        <v>101</v>
      </c>
      <c r="E181" s="148">
        <v>1.8</v>
      </c>
      <c r="F181" s="338"/>
      <c r="G181" s="149"/>
      <c r="H181" s="339"/>
    </row>
    <row r="182" spans="1:8" s="136" customFormat="1">
      <c r="A182" s="148">
        <v>178</v>
      </c>
      <c r="B182" s="148" t="s">
        <v>474</v>
      </c>
      <c r="C182" s="148" t="s">
        <v>651</v>
      </c>
      <c r="D182" s="336" t="s">
        <v>101</v>
      </c>
      <c r="E182" s="148">
        <v>0.24</v>
      </c>
      <c r="F182" s="338"/>
      <c r="G182" s="149"/>
      <c r="H182" s="339"/>
    </row>
    <row r="183" spans="1:8" s="136" customFormat="1">
      <c r="A183" s="148">
        <v>179</v>
      </c>
      <c r="B183" s="148" t="s">
        <v>474</v>
      </c>
      <c r="C183" s="148" t="s">
        <v>652</v>
      </c>
      <c r="D183" s="336" t="s">
        <v>101</v>
      </c>
      <c r="E183" s="148">
        <v>0.35</v>
      </c>
      <c r="F183" s="338"/>
      <c r="G183" s="149"/>
      <c r="H183" s="339"/>
    </row>
    <row r="184" spans="1:8" s="136" customFormat="1">
      <c r="A184" s="148">
        <v>180</v>
      </c>
      <c r="B184" s="148" t="s">
        <v>470</v>
      </c>
      <c r="C184" s="148" t="s">
        <v>653</v>
      </c>
      <c r="D184" s="336" t="s">
        <v>101</v>
      </c>
      <c r="E184" s="148">
        <v>0.5</v>
      </c>
      <c r="F184" s="338"/>
      <c r="G184" s="149"/>
      <c r="H184" s="339"/>
    </row>
    <row r="185" spans="1:8" s="136" customFormat="1">
      <c r="A185" s="148">
        <v>181</v>
      </c>
      <c r="B185" s="148" t="s">
        <v>474</v>
      </c>
      <c r="C185" s="148" t="s">
        <v>654</v>
      </c>
      <c r="D185" s="148" t="s">
        <v>101</v>
      </c>
      <c r="E185" s="148">
        <v>0.4</v>
      </c>
      <c r="F185" s="338"/>
      <c r="G185" s="149"/>
      <c r="H185" s="339"/>
    </row>
    <row r="186" spans="1:8" s="136" customFormat="1">
      <c r="A186" s="148">
        <v>182</v>
      </c>
      <c r="B186" s="148" t="s">
        <v>470</v>
      </c>
      <c r="C186" s="148" t="s">
        <v>655</v>
      </c>
      <c r="D186" s="336" t="s">
        <v>101</v>
      </c>
      <c r="E186" s="148">
        <v>1.3</v>
      </c>
      <c r="F186" s="338"/>
      <c r="G186" s="149"/>
      <c r="H186" s="339"/>
    </row>
    <row r="187" spans="1:8" s="136" customFormat="1">
      <c r="A187" s="148">
        <v>183</v>
      </c>
      <c r="B187" s="148" t="s">
        <v>470</v>
      </c>
      <c r="C187" s="148" t="s">
        <v>656</v>
      </c>
      <c r="D187" s="336" t="s">
        <v>101</v>
      </c>
      <c r="E187" s="148">
        <v>0.7</v>
      </c>
      <c r="F187" s="338"/>
      <c r="G187" s="149"/>
      <c r="H187" s="339"/>
    </row>
    <row r="188" spans="1:8" s="136" customFormat="1">
      <c r="A188" s="148">
        <v>184</v>
      </c>
      <c r="B188" s="148" t="s">
        <v>470</v>
      </c>
      <c r="C188" s="148" t="s">
        <v>657</v>
      </c>
      <c r="D188" s="336" t="s">
        <v>101</v>
      </c>
      <c r="E188" s="148">
        <v>0.38</v>
      </c>
      <c r="F188" s="338"/>
      <c r="G188" s="149"/>
      <c r="H188" s="339"/>
    </row>
    <row r="189" spans="1:8" s="136" customFormat="1">
      <c r="A189" s="148">
        <v>185</v>
      </c>
      <c r="B189" s="148" t="s">
        <v>470</v>
      </c>
      <c r="C189" s="148" t="s">
        <v>658</v>
      </c>
      <c r="D189" s="336" t="s">
        <v>101</v>
      </c>
      <c r="E189" s="148">
        <v>0.6</v>
      </c>
      <c r="F189" s="338"/>
      <c r="G189" s="149"/>
      <c r="H189" s="339"/>
    </row>
    <row r="190" spans="1:8" s="136" customFormat="1">
      <c r="A190" s="148">
        <v>186</v>
      </c>
      <c r="B190" s="148" t="s">
        <v>474</v>
      </c>
      <c r="C190" s="148" t="s">
        <v>659</v>
      </c>
      <c r="D190" s="336" t="s">
        <v>101</v>
      </c>
      <c r="E190" s="148">
        <v>0.48</v>
      </c>
      <c r="F190" s="338"/>
      <c r="G190" s="149"/>
      <c r="H190" s="339"/>
    </row>
    <row r="191" spans="1:8" s="136" customFormat="1">
      <c r="A191" s="148">
        <v>187</v>
      </c>
      <c r="B191" s="148" t="s">
        <v>474</v>
      </c>
      <c r="C191" s="148" t="s">
        <v>660</v>
      </c>
      <c r="D191" s="336" t="s">
        <v>101</v>
      </c>
      <c r="E191" s="148">
        <v>0.48</v>
      </c>
      <c r="F191" s="338"/>
      <c r="G191" s="149"/>
      <c r="H191" s="339"/>
    </row>
    <row r="192" spans="1:8" s="136" customFormat="1">
      <c r="A192" s="148">
        <v>188</v>
      </c>
      <c r="B192" s="148" t="s">
        <v>474</v>
      </c>
      <c r="C192" s="148" t="s">
        <v>661</v>
      </c>
      <c r="D192" s="148" t="s">
        <v>101</v>
      </c>
      <c r="E192" s="148">
        <v>0.4</v>
      </c>
      <c r="F192" s="338"/>
      <c r="G192" s="149"/>
      <c r="H192" s="339"/>
    </row>
    <row r="193" spans="1:8" s="136" customFormat="1">
      <c r="A193" s="148">
        <v>189</v>
      </c>
      <c r="B193" s="148" t="s">
        <v>468</v>
      </c>
      <c r="C193" s="148" t="s">
        <v>662</v>
      </c>
      <c r="D193" s="336" t="s">
        <v>101</v>
      </c>
      <c r="E193" s="148">
        <v>1.1000000000000001</v>
      </c>
      <c r="F193" s="338"/>
      <c r="G193" s="149"/>
      <c r="H193" s="339"/>
    </row>
    <row r="194" spans="1:8" s="136" customFormat="1">
      <c r="A194" s="148">
        <v>190</v>
      </c>
      <c r="B194" s="148" t="s">
        <v>470</v>
      </c>
      <c r="C194" s="148" t="s">
        <v>663</v>
      </c>
      <c r="D194" s="336" t="s">
        <v>101</v>
      </c>
      <c r="E194" s="148">
        <v>0.4</v>
      </c>
      <c r="F194" s="338"/>
      <c r="G194" s="149"/>
      <c r="H194" s="339"/>
    </row>
    <row r="195" spans="1:8" s="136" customFormat="1">
      <c r="A195" s="148">
        <v>191</v>
      </c>
      <c r="B195" s="148" t="s">
        <v>474</v>
      </c>
      <c r="C195" s="148" t="s">
        <v>664</v>
      </c>
      <c r="D195" s="336" t="s">
        <v>101</v>
      </c>
      <c r="E195" s="148">
        <v>0.48</v>
      </c>
      <c r="F195" s="338"/>
      <c r="G195" s="149"/>
      <c r="H195" s="339"/>
    </row>
    <row r="196" spans="1:8" s="136" customFormat="1">
      <c r="A196" s="148">
        <v>192</v>
      </c>
      <c r="B196" s="148" t="s">
        <v>464</v>
      </c>
      <c r="C196" s="148" t="s">
        <v>665</v>
      </c>
      <c r="D196" s="336" t="s">
        <v>461</v>
      </c>
      <c r="E196" s="148">
        <v>0.3</v>
      </c>
      <c r="F196" s="338"/>
      <c r="G196" s="149"/>
      <c r="H196" s="339"/>
    </row>
    <row r="197" spans="1:8" s="136" customFormat="1">
      <c r="A197" s="148">
        <v>193</v>
      </c>
      <c r="B197" s="148" t="s">
        <v>520</v>
      </c>
      <c r="C197" s="148" t="s">
        <v>666</v>
      </c>
      <c r="D197" s="336" t="s">
        <v>101</v>
      </c>
      <c r="E197" s="148">
        <v>0</v>
      </c>
      <c r="F197" s="338"/>
      <c r="G197" s="149"/>
      <c r="H197" s="339"/>
    </row>
    <row r="198" spans="1:8" s="136" customFormat="1">
      <c r="A198" s="148">
        <v>194</v>
      </c>
      <c r="B198" s="148" t="s">
        <v>520</v>
      </c>
      <c r="C198" s="148" t="s">
        <v>667</v>
      </c>
      <c r="D198" s="336" t="s">
        <v>668</v>
      </c>
      <c r="E198" s="148">
        <v>10</v>
      </c>
      <c r="F198" s="338"/>
      <c r="G198" s="149"/>
      <c r="H198" s="339"/>
    </row>
    <row r="199" spans="1:8" s="136" customFormat="1">
      <c r="A199" s="148">
        <v>195</v>
      </c>
      <c r="B199" s="148" t="s">
        <v>520</v>
      </c>
      <c r="C199" s="148" t="s">
        <v>669</v>
      </c>
      <c r="D199" s="336" t="s">
        <v>668</v>
      </c>
      <c r="E199" s="148">
        <v>20</v>
      </c>
      <c r="F199" s="338"/>
      <c r="G199" s="149"/>
      <c r="H199" s="339"/>
    </row>
    <row r="200" spans="1:8" s="136" customFormat="1">
      <c r="A200" s="148">
        <v>196</v>
      </c>
      <c r="B200" s="148" t="s">
        <v>520</v>
      </c>
      <c r="C200" s="148" t="s">
        <v>670</v>
      </c>
      <c r="D200" s="336" t="s">
        <v>668</v>
      </c>
      <c r="E200" s="148">
        <v>25</v>
      </c>
      <c r="F200" s="338"/>
      <c r="G200" s="149"/>
      <c r="H200" s="339"/>
    </row>
    <row r="201" spans="1:8" s="136" customFormat="1">
      <c r="A201" s="148">
        <v>197</v>
      </c>
      <c r="B201" s="148" t="s">
        <v>520</v>
      </c>
      <c r="C201" s="148" t="s">
        <v>671</v>
      </c>
      <c r="D201" s="336" t="s">
        <v>101</v>
      </c>
      <c r="E201" s="148">
        <v>0</v>
      </c>
      <c r="F201" s="338"/>
      <c r="G201" s="149"/>
      <c r="H201" s="339"/>
    </row>
    <row r="202" spans="1:8" s="136" customFormat="1">
      <c r="A202" s="148">
        <v>198</v>
      </c>
      <c r="B202" s="148" t="s">
        <v>520</v>
      </c>
      <c r="C202" s="148" t="s">
        <v>672</v>
      </c>
      <c r="D202" s="336" t="s">
        <v>101</v>
      </c>
      <c r="E202" s="148">
        <v>15</v>
      </c>
      <c r="F202" s="338"/>
      <c r="G202" s="149"/>
      <c r="H202" s="339"/>
    </row>
    <row r="203" spans="1:8" s="136" customFormat="1">
      <c r="A203" s="148">
        <v>199</v>
      </c>
      <c r="B203" s="148" t="s">
        <v>520</v>
      </c>
      <c r="C203" s="148" t="s">
        <v>673</v>
      </c>
      <c r="D203" s="336" t="s">
        <v>101</v>
      </c>
      <c r="E203" s="148">
        <v>20</v>
      </c>
      <c r="F203" s="338"/>
      <c r="G203" s="149"/>
      <c r="H203" s="339"/>
    </row>
    <row r="204" spans="1:8" s="136" customFormat="1">
      <c r="A204" s="148">
        <v>200</v>
      </c>
      <c r="B204" s="148" t="s">
        <v>558</v>
      </c>
      <c r="C204" s="148" t="s">
        <v>674</v>
      </c>
      <c r="D204" s="336" t="s">
        <v>573</v>
      </c>
      <c r="E204" s="148">
        <v>1.5</v>
      </c>
      <c r="F204" s="338"/>
      <c r="G204" s="149"/>
      <c r="H204" s="339"/>
    </row>
    <row r="205" spans="1:8" s="136" customFormat="1">
      <c r="A205" s="148">
        <v>201</v>
      </c>
      <c r="B205" s="148" t="s">
        <v>558</v>
      </c>
      <c r="C205" s="148" t="s">
        <v>675</v>
      </c>
      <c r="D205" s="336" t="s">
        <v>573</v>
      </c>
      <c r="E205" s="148">
        <v>3</v>
      </c>
      <c r="F205" s="338"/>
      <c r="G205" s="149"/>
      <c r="H205" s="339"/>
    </row>
    <row r="206" spans="1:8" s="136" customFormat="1">
      <c r="A206" s="148">
        <v>202</v>
      </c>
      <c r="B206" s="148" t="s">
        <v>558</v>
      </c>
      <c r="C206" s="148" t="s">
        <v>574</v>
      </c>
      <c r="D206" s="336" t="s">
        <v>676</v>
      </c>
      <c r="E206" s="148">
        <v>4</v>
      </c>
      <c r="F206" s="338"/>
      <c r="G206" s="149"/>
      <c r="H206" s="339"/>
    </row>
    <row r="207" spans="1:8" s="136" customFormat="1">
      <c r="A207" s="148">
        <v>203</v>
      </c>
      <c r="B207" s="148" t="s">
        <v>558</v>
      </c>
      <c r="C207" s="148" t="s">
        <v>677</v>
      </c>
      <c r="D207" s="336" t="s">
        <v>573</v>
      </c>
      <c r="E207" s="148">
        <v>0.6</v>
      </c>
      <c r="F207" s="338"/>
      <c r="G207" s="149"/>
      <c r="H207" s="339"/>
    </row>
    <row r="208" spans="1:8" s="136" customFormat="1">
      <c r="A208" s="148">
        <v>204</v>
      </c>
      <c r="B208" s="148" t="s">
        <v>558</v>
      </c>
      <c r="C208" s="148" t="s">
        <v>678</v>
      </c>
      <c r="D208" s="336" t="s">
        <v>573</v>
      </c>
      <c r="E208" s="148">
        <f>38/500</f>
        <v>7.5999999999999998E-2</v>
      </c>
      <c r="F208" s="338"/>
      <c r="G208" s="149"/>
      <c r="H208" s="339"/>
    </row>
    <row r="209" spans="1:8" s="136" customFormat="1">
      <c r="A209" s="148">
        <v>205</v>
      </c>
      <c r="B209" s="148" t="s">
        <v>558</v>
      </c>
      <c r="C209" s="148" t="s">
        <v>679</v>
      </c>
      <c r="D209" s="336" t="s">
        <v>573</v>
      </c>
      <c r="E209" s="148">
        <v>10.44</v>
      </c>
      <c r="F209" s="338"/>
      <c r="G209" s="149"/>
      <c r="H209" s="339"/>
    </row>
    <row r="210" spans="1:8" s="136" customFormat="1">
      <c r="A210" s="148">
        <v>206</v>
      </c>
      <c r="B210" s="148" t="s">
        <v>558</v>
      </c>
      <c r="C210" s="148" t="s">
        <v>680</v>
      </c>
      <c r="D210" s="336" t="s">
        <v>573</v>
      </c>
      <c r="E210" s="148">
        <v>21.56</v>
      </c>
      <c r="F210" s="338"/>
      <c r="G210" s="149"/>
      <c r="H210" s="339"/>
    </row>
    <row r="211" spans="1:8" s="136" customFormat="1">
      <c r="A211" s="148">
        <v>207</v>
      </c>
      <c r="B211" s="148" t="s">
        <v>558</v>
      </c>
      <c r="C211" s="148" t="s">
        <v>681</v>
      </c>
      <c r="D211" s="336" t="s">
        <v>573</v>
      </c>
      <c r="E211" s="148">
        <v>17.16</v>
      </c>
      <c r="F211" s="338"/>
      <c r="G211" s="149"/>
      <c r="H211" s="339"/>
    </row>
    <row r="212" spans="1:8" s="136" customFormat="1">
      <c r="A212" s="148">
        <v>208</v>
      </c>
      <c r="B212" s="148" t="s">
        <v>558</v>
      </c>
      <c r="C212" s="148" t="s">
        <v>682</v>
      </c>
      <c r="D212" s="336" t="s">
        <v>573</v>
      </c>
      <c r="E212" s="148">
        <v>38.6</v>
      </c>
      <c r="F212" s="338"/>
      <c r="G212" s="149"/>
      <c r="H212" s="339"/>
    </row>
    <row r="213" spans="1:8" s="136" customFormat="1" ht="28">
      <c r="A213" s="148">
        <v>209</v>
      </c>
      <c r="B213" s="148" t="s">
        <v>558</v>
      </c>
      <c r="C213" s="164" t="s">
        <v>683</v>
      </c>
      <c r="D213" s="336" t="s">
        <v>563</v>
      </c>
      <c r="E213" s="342">
        <v>2600</v>
      </c>
      <c r="F213" s="338"/>
      <c r="G213" s="149"/>
      <c r="H213" s="339"/>
    </row>
    <row r="214" spans="1:8" s="136" customFormat="1">
      <c r="A214" s="148">
        <v>210</v>
      </c>
      <c r="B214" s="148" t="s">
        <v>558</v>
      </c>
      <c r="C214" s="148" t="s">
        <v>684</v>
      </c>
      <c r="D214" s="336" t="s">
        <v>563</v>
      </c>
      <c r="E214" s="148">
        <v>2400</v>
      </c>
      <c r="F214" s="338"/>
      <c r="G214" s="149"/>
      <c r="H214" s="339"/>
    </row>
    <row r="215" spans="1:8" s="136" customFormat="1" ht="56">
      <c r="A215" s="148">
        <v>211</v>
      </c>
      <c r="B215" s="148" t="s">
        <v>558</v>
      </c>
      <c r="C215" s="164" t="s">
        <v>685</v>
      </c>
      <c r="D215" s="343" t="s">
        <v>686</v>
      </c>
      <c r="E215" s="148">
        <v>25</v>
      </c>
      <c r="F215" s="149"/>
      <c r="G215" s="149"/>
      <c r="H215" s="339"/>
    </row>
    <row r="216" spans="1:8" s="136" customFormat="1">
      <c r="A216" s="148">
        <v>212</v>
      </c>
      <c r="B216" s="148" t="s">
        <v>459</v>
      </c>
      <c r="C216" s="148" t="s">
        <v>687</v>
      </c>
      <c r="D216" s="148" t="s">
        <v>461</v>
      </c>
      <c r="E216" s="148">
        <v>0.12</v>
      </c>
      <c r="F216" s="149"/>
      <c r="G216" s="149"/>
      <c r="H216" s="339"/>
    </row>
    <row r="217" spans="1:8" s="136" customFormat="1">
      <c r="A217" s="148">
        <v>224</v>
      </c>
      <c r="B217" s="148" t="s">
        <v>558</v>
      </c>
      <c r="C217" s="148"/>
      <c r="D217" s="336"/>
      <c r="E217" s="148"/>
      <c r="F217" s="338"/>
      <c r="G217" s="149"/>
      <c r="H217" s="339"/>
    </row>
    <row r="218" spans="1:8" s="136" customFormat="1">
      <c r="A218" s="148">
        <v>225</v>
      </c>
      <c r="B218" s="148" t="s">
        <v>558</v>
      </c>
      <c r="C218" s="148"/>
      <c r="D218" s="336"/>
      <c r="E218" s="148"/>
      <c r="F218" s="338"/>
      <c r="G218" s="149"/>
      <c r="H218" s="339"/>
    </row>
    <row r="219" spans="1:8" s="136" customFormat="1">
      <c r="A219" s="148">
        <v>226</v>
      </c>
      <c r="B219" s="148" t="s">
        <v>558</v>
      </c>
      <c r="C219" s="148"/>
      <c r="D219" s="336"/>
      <c r="E219" s="148"/>
      <c r="F219" s="338"/>
      <c r="G219" s="149"/>
      <c r="H219" s="339"/>
    </row>
    <row r="220" spans="1:8" s="136" customFormat="1">
      <c r="A220" s="148">
        <v>227</v>
      </c>
      <c r="B220" s="148" t="s">
        <v>558</v>
      </c>
      <c r="C220" s="148"/>
      <c r="D220" s="336"/>
      <c r="E220" s="148"/>
      <c r="F220" s="338"/>
      <c r="G220" s="149"/>
      <c r="H220" s="339"/>
    </row>
    <row r="221" spans="1:8" s="136" customFormat="1">
      <c r="A221" s="148">
        <v>228</v>
      </c>
      <c r="B221" s="148" t="s">
        <v>558</v>
      </c>
      <c r="C221" s="148"/>
      <c r="D221" s="336"/>
      <c r="E221" s="148"/>
      <c r="F221" s="338"/>
      <c r="G221" s="149"/>
      <c r="H221" s="339"/>
    </row>
    <row r="222" spans="1:8" s="136" customFormat="1">
      <c r="A222" s="148">
        <v>229</v>
      </c>
      <c r="B222" s="148" t="s">
        <v>558</v>
      </c>
      <c r="C222" s="164"/>
      <c r="D222" s="148"/>
      <c r="E222" s="148"/>
      <c r="F222" s="338"/>
      <c r="G222" s="149"/>
      <c r="H222" s="339"/>
    </row>
    <row r="223" spans="1:8" s="136" customFormat="1">
      <c r="A223" s="148">
        <v>230</v>
      </c>
      <c r="B223" s="148" t="s">
        <v>520</v>
      </c>
      <c r="C223" s="148" t="s">
        <v>688</v>
      </c>
      <c r="D223" s="148" t="s">
        <v>101</v>
      </c>
      <c r="E223" s="148">
        <v>1</v>
      </c>
      <c r="F223" s="338"/>
      <c r="G223" s="149"/>
      <c r="H223" s="339"/>
    </row>
    <row r="224" spans="1:8" s="136" customFormat="1">
      <c r="A224" s="148">
        <v>231</v>
      </c>
      <c r="B224" s="148" t="s">
        <v>520</v>
      </c>
      <c r="C224" s="148" t="s">
        <v>689</v>
      </c>
      <c r="D224" s="336" t="s">
        <v>101</v>
      </c>
      <c r="E224" s="148">
        <v>1</v>
      </c>
      <c r="F224" s="338"/>
      <c r="G224" s="149"/>
      <c r="H224" s="339"/>
    </row>
    <row r="225" spans="1:8" s="136" customFormat="1">
      <c r="A225" s="148">
        <v>232</v>
      </c>
      <c r="B225" s="148" t="s">
        <v>520</v>
      </c>
      <c r="C225" s="148" t="s">
        <v>690</v>
      </c>
      <c r="D225" s="336" t="s">
        <v>101</v>
      </c>
      <c r="E225" s="148">
        <v>0.5</v>
      </c>
      <c r="F225" s="338"/>
      <c r="G225" s="149"/>
      <c r="H225" s="339"/>
    </row>
    <row r="226" spans="1:8" s="136" customFormat="1">
      <c r="A226" s="148">
        <v>233</v>
      </c>
      <c r="B226" s="148" t="s">
        <v>457</v>
      </c>
      <c r="C226" s="148" t="s">
        <v>691</v>
      </c>
      <c r="D226" s="148" t="s">
        <v>101</v>
      </c>
      <c r="E226" s="148">
        <v>28.9</v>
      </c>
      <c r="F226" s="338"/>
      <c r="G226" s="149"/>
      <c r="H226" s="339"/>
    </row>
    <row r="227" spans="1:8" s="136" customFormat="1">
      <c r="A227" s="148">
        <v>234</v>
      </c>
      <c r="B227" s="148" t="s">
        <v>459</v>
      </c>
      <c r="C227" s="148" t="s">
        <v>692</v>
      </c>
      <c r="D227" s="336" t="s">
        <v>461</v>
      </c>
      <c r="E227" s="148">
        <v>6.5199999999999994E-2</v>
      </c>
      <c r="F227" s="338"/>
      <c r="G227" s="149"/>
      <c r="H227" s="339"/>
    </row>
    <row r="228" spans="1:8" s="136" customFormat="1">
      <c r="A228" s="148">
        <v>235</v>
      </c>
      <c r="B228" s="148" t="s">
        <v>474</v>
      </c>
      <c r="C228" s="148" t="s">
        <v>693</v>
      </c>
      <c r="D228" s="148" t="s">
        <v>101</v>
      </c>
      <c r="E228" s="148">
        <v>0.2</v>
      </c>
      <c r="F228" s="338"/>
      <c r="G228" s="149"/>
      <c r="H228" s="339"/>
    </row>
    <row r="229" spans="1:8" s="136" customFormat="1">
      <c r="A229" s="148">
        <v>236</v>
      </c>
      <c r="B229" s="148" t="s">
        <v>477</v>
      </c>
      <c r="C229" s="148" t="s">
        <v>694</v>
      </c>
      <c r="D229" s="336" t="s">
        <v>101</v>
      </c>
      <c r="E229" s="148">
        <v>0.24</v>
      </c>
      <c r="F229" s="338"/>
      <c r="G229" s="149"/>
      <c r="H229" s="339"/>
    </row>
    <row r="230" spans="1:8" s="136" customFormat="1">
      <c r="A230" s="148">
        <v>237</v>
      </c>
      <c r="B230" s="148" t="s">
        <v>459</v>
      </c>
      <c r="C230" s="148" t="s">
        <v>695</v>
      </c>
      <c r="D230" s="336" t="s">
        <v>461</v>
      </c>
      <c r="E230" s="148">
        <v>0.23499999999999999</v>
      </c>
      <c r="F230" s="338"/>
      <c r="G230" s="149"/>
      <c r="H230" s="339"/>
    </row>
    <row r="231" spans="1:8" s="136" customFormat="1">
      <c r="A231" s="148">
        <v>238</v>
      </c>
      <c r="B231" s="148" t="s">
        <v>459</v>
      </c>
      <c r="C231" s="148" t="s">
        <v>696</v>
      </c>
      <c r="D231" s="336" t="s">
        <v>461</v>
      </c>
      <c r="E231" s="148">
        <v>0.35</v>
      </c>
      <c r="F231" s="338"/>
      <c r="G231" s="149"/>
      <c r="H231" s="339"/>
    </row>
    <row r="232" spans="1:8" s="136" customFormat="1">
      <c r="A232" s="148">
        <v>239</v>
      </c>
      <c r="B232" s="148" t="s">
        <v>459</v>
      </c>
      <c r="C232" s="148" t="s">
        <v>697</v>
      </c>
      <c r="D232" s="336" t="s">
        <v>461</v>
      </c>
      <c r="E232" s="148">
        <v>0.54800000000000004</v>
      </c>
      <c r="F232" s="338"/>
      <c r="G232" s="149"/>
      <c r="H232" s="339"/>
    </row>
    <row r="233" spans="1:8" s="136" customFormat="1">
      <c r="A233" s="148">
        <v>240</v>
      </c>
      <c r="B233" s="148" t="s">
        <v>459</v>
      </c>
      <c r="C233" s="148" t="s">
        <v>698</v>
      </c>
      <c r="D233" s="336" t="s">
        <v>461</v>
      </c>
      <c r="E233" s="148">
        <v>0.67800000000000005</v>
      </c>
      <c r="F233" s="338"/>
      <c r="G233" s="149"/>
      <c r="H233" s="339"/>
    </row>
    <row r="234" spans="1:8" s="136" customFormat="1">
      <c r="A234" s="148">
        <v>241</v>
      </c>
      <c r="B234" s="148" t="s">
        <v>459</v>
      </c>
      <c r="C234" s="148" t="s">
        <v>699</v>
      </c>
      <c r="D234" s="336" t="s">
        <v>461</v>
      </c>
      <c r="E234" s="148">
        <v>0.16800000000000001</v>
      </c>
      <c r="F234" s="338"/>
      <c r="G234" s="149"/>
      <c r="H234" s="339"/>
    </row>
    <row r="235" spans="1:8" s="136" customFormat="1">
      <c r="A235" s="148">
        <v>242</v>
      </c>
      <c r="B235" s="148" t="s">
        <v>474</v>
      </c>
      <c r="C235" s="148" t="s">
        <v>700</v>
      </c>
      <c r="D235" s="148" t="s">
        <v>101</v>
      </c>
      <c r="E235" s="148">
        <v>0.2</v>
      </c>
      <c r="F235" s="338"/>
      <c r="G235" s="149"/>
      <c r="H235" s="339"/>
    </row>
    <row r="236" spans="1:8" s="136" customFormat="1">
      <c r="A236" s="148">
        <v>243</v>
      </c>
      <c r="B236" s="148" t="s">
        <v>477</v>
      </c>
      <c r="C236" s="148" t="s">
        <v>701</v>
      </c>
      <c r="D236" s="336" t="s">
        <v>101</v>
      </c>
      <c r="E236" s="148">
        <v>0.24</v>
      </c>
      <c r="F236" s="338"/>
      <c r="G236" s="149"/>
      <c r="H236" s="339"/>
    </row>
    <row r="237" spans="1:8" s="136" customFormat="1">
      <c r="A237" s="148">
        <v>244</v>
      </c>
      <c r="B237" s="148" t="s">
        <v>459</v>
      </c>
      <c r="C237" s="148" t="s">
        <v>702</v>
      </c>
      <c r="D237" s="148" t="s">
        <v>461</v>
      </c>
      <c r="E237" s="148">
        <v>0.30499999999999999</v>
      </c>
      <c r="F237" s="338"/>
      <c r="G237" s="149"/>
      <c r="H237" s="339"/>
    </row>
    <row r="238" spans="1:8" s="136" customFormat="1">
      <c r="A238" s="148">
        <v>245</v>
      </c>
      <c r="B238" s="148" t="s">
        <v>504</v>
      </c>
      <c r="C238" s="148" t="s">
        <v>703</v>
      </c>
      <c r="D238" s="336" t="s">
        <v>704</v>
      </c>
      <c r="E238" s="148">
        <v>50</v>
      </c>
      <c r="F238" s="338"/>
      <c r="G238" s="149"/>
      <c r="H238" s="339"/>
    </row>
    <row r="239" spans="1:8" s="136" customFormat="1">
      <c r="A239" s="148">
        <v>246</v>
      </c>
      <c r="B239" s="148" t="s">
        <v>459</v>
      </c>
      <c r="C239" s="148" t="s">
        <v>705</v>
      </c>
      <c r="D239" s="336" t="s">
        <v>461</v>
      </c>
      <c r="E239" s="148">
        <v>9.6000000000000002E-2</v>
      </c>
      <c r="F239" s="338"/>
      <c r="G239" s="149"/>
      <c r="H239" s="339"/>
    </row>
    <row r="240" spans="1:8" s="136" customFormat="1">
      <c r="A240" s="148">
        <v>247</v>
      </c>
      <c r="B240" s="148" t="s">
        <v>470</v>
      </c>
      <c r="C240" s="148" t="s">
        <v>706</v>
      </c>
      <c r="D240" s="336" t="s">
        <v>101</v>
      </c>
      <c r="E240" s="148">
        <v>1.5</v>
      </c>
      <c r="F240" s="338"/>
      <c r="G240" s="149"/>
      <c r="H240" s="339"/>
    </row>
    <row r="241" spans="1:8" s="136" customFormat="1">
      <c r="A241" s="148">
        <v>248</v>
      </c>
      <c r="B241" s="148" t="s">
        <v>474</v>
      </c>
      <c r="C241" s="148" t="s">
        <v>707</v>
      </c>
      <c r="D241" s="148" t="s">
        <v>101</v>
      </c>
      <c r="E241" s="148">
        <v>0.4</v>
      </c>
      <c r="F241" s="338"/>
      <c r="G241" s="149"/>
      <c r="H241" s="339"/>
    </row>
    <row r="242" spans="1:8" s="136" customFormat="1">
      <c r="A242" s="148">
        <v>249</v>
      </c>
      <c r="B242" s="148" t="s">
        <v>459</v>
      </c>
      <c r="C242" s="148" t="s">
        <v>708</v>
      </c>
      <c r="D242" s="336" t="s">
        <v>461</v>
      </c>
      <c r="E242" s="148">
        <v>1.2350000000000001</v>
      </c>
      <c r="F242" s="338"/>
      <c r="G242" s="149"/>
      <c r="H242" s="339"/>
    </row>
    <row r="243" spans="1:8" s="136" customFormat="1">
      <c r="A243" s="148">
        <v>250</v>
      </c>
      <c r="B243" s="148" t="s">
        <v>470</v>
      </c>
      <c r="C243" s="148" t="s">
        <v>709</v>
      </c>
      <c r="D243" s="336" t="s">
        <v>101</v>
      </c>
      <c r="E243" s="148">
        <v>3.2</v>
      </c>
      <c r="F243" s="338"/>
      <c r="G243" s="149"/>
      <c r="H243" s="339"/>
    </row>
    <row r="244" spans="1:8" s="136" customFormat="1">
      <c r="A244" s="148">
        <v>251</v>
      </c>
      <c r="B244" s="148" t="s">
        <v>474</v>
      </c>
      <c r="C244" s="148" t="s">
        <v>710</v>
      </c>
      <c r="D244" s="148" t="s">
        <v>101</v>
      </c>
      <c r="E244" s="148">
        <v>1.5</v>
      </c>
      <c r="F244" s="338"/>
      <c r="G244" s="149"/>
      <c r="H244" s="339"/>
    </row>
    <row r="245" spans="1:8" s="136" customFormat="1">
      <c r="A245" s="148">
        <v>252</v>
      </c>
      <c r="B245" s="148" t="s">
        <v>459</v>
      </c>
      <c r="C245" s="148" t="s">
        <v>711</v>
      </c>
      <c r="D245" s="336" t="s">
        <v>461</v>
      </c>
      <c r="E245" s="148">
        <v>1.7</v>
      </c>
      <c r="F245" s="338"/>
      <c r="G245" s="149"/>
      <c r="H245" s="339"/>
    </row>
    <row r="246" spans="1:8" s="136" customFormat="1">
      <c r="A246" s="148">
        <v>253</v>
      </c>
      <c r="B246" s="148" t="s">
        <v>457</v>
      </c>
      <c r="C246" s="148" t="s">
        <v>712</v>
      </c>
      <c r="D246" s="336" t="s">
        <v>101</v>
      </c>
      <c r="E246" s="148">
        <v>162</v>
      </c>
      <c r="F246" s="338"/>
      <c r="G246" s="149"/>
      <c r="H246" s="339"/>
    </row>
    <row r="247" spans="1:8" s="136" customFormat="1">
      <c r="A247" s="148">
        <v>254</v>
      </c>
      <c r="B247" s="148" t="s">
        <v>474</v>
      </c>
      <c r="C247" s="148" t="s">
        <v>713</v>
      </c>
      <c r="D247" s="336" t="s">
        <v>101</v>
      </c>
      <c r="E247" s="148">
        <v>0.45</v>
      </c>
      <c r="F247" s="338"/>
      <c r="G247" s="149"/>
      <c r="H247" s="339"/>
    </row>
    <row r="248" spans="1:8" s="136" customFormat="1">
      <c r="A248" s="148">
        <v>255</v>
      </c>
      <c r="B248" s="148" t="s">
        <v>474</v>
      </c>
      <c r="C248" s="148" t="s">
        <v>714</v>
      </c>
      <c r="D248" s="336" t="s">
        <v>101</v>
      </c>
      <c r="E248" s="148">
        <v>0.45</v>
      </c>
      <c r="F248" s="338"/>
      <c r="G248" s="149"/>
      <c r="H248" s="339"/>
    </row>
    <row r="249" spans="1:8" s="136" customFormat="1">
      <c r="A249" s="148">
        <v>256</v>
      </c>
      <c r="B249" s="148" t="s">
        <v>477</v>
      </c>
      <c r="C249" s="148" t="s">
        <v>715</v>
      </c>
      <c r="D249" s="336" t="s">
        <v>101</v>
      </c>
      <c r="E249" s="148">
        <v>0.24</v>
      </c>
      <c r="F249" s="338"/>
      <c r="G249" s="149"/>
      <c r="H249" s="339"/>
    </row>
    <row r="250" spans="1:8" s="136" customFormat="1">
      <c r="A250" s="148">
        <v>257</v>
      </c>
      <c r="B250" s="148"/>
      <c r="C250" s="164" t="s">
        <v>716</v>
      </c>
      <c r="D250" s="336" t="s">
        <v>101</v>
      </c>
      <c r="E250" s="148"/>
      <c r="F250" s="338"/>
      <c r="G250" s="149"/>
      <c r="H250" s="344"/>
    </row>
    <row r="251" spans="1:8" s="136" customFormat="1">
      <c r="A251" s="148">
        <v>258</v>
      </c>
      <c r="B251" s="148"/>
      <c r="C251" s="164" t="s">
        <v>717</v>
      </c>
      <c r="D251" s="336" t="s">
        <v>101</v>
      </c>
      <c r="E251" s="148"/>
      <c r="F251" s="338"/>
      <c r="G251" s="149"/>
      <c r="H251" s="344"/>
    </row>
    <row r="252" spans="1:8" s="136" customFormat="1">
      <c r="A252" s="148">
        <v>259</v>
      </c>
      <c r="B252" s="148"/>
      <c r="C252" s="164" t="s">
        <v>718</v>
      </c>
      <c r="D252" s="336" t="s">
        <v>101</v>
      </c>
      <c r="E252" s="148"/>
      <c r="F252" s="338"/>
      <c r="G252" s="149"/>
      <c r="H252" s="344"/>
    </row>
    <row r="253" spans="1:8">
      <c r="A253" s="148">
        <v>260</v>
      </c>
      <c r="B253" s="148"/>
      <c r="C253" s="164" t="s">
        <v>719</v>
      </c>
      <c r="D253" s="336" t="s">
        <v>101</v>
      </c>
      <c r="E253" s="148"/>
      <c r="F253" s="338"/>
      <c r="G253" s="149"/>
      <c r="H253" s="344"/>
    </row>
    <row r="254" spans="1:8">
      <c r="A254" s="148">
        <v>261</v>
      </c>
      <c r="B254" s="148"/>
      <c r="C254" s="164" t="s">
        <v>720</v>
      </c>
      <c r="D254" s="336" t="s">
        <v>101</v>
      </c>
      <c r="E254" s="148"/>
      <c r="F254" s="338"/>
      <c r="G254" s="149"/>
      <c r="H254" s="344"/>
    </row>
    <row r="255" spans="1:8">
      <c r="A255" s="148">
        <v>262</v>
      </c>
      <c r="B255" s="148"/>
      <c r="C255" s="164" t="s">
        <v>721</v>
      </c>
      <c r="D255" s="336" t="s">
        <v>101</v>
      </c>
      <c r="E255" s="148"/>
      <c r="F255" s="338"/>
      <c r="G255" s="149"/>
      <c r="H255" s="344"/>
    </row>
    <row r="256" spans="1:8">
      <c r="A256" s="148">
        <v>263</v>
      </c>
      <c r="B256" s="148"/>
      <c r="C256" s="164" t="s">
        <v>722</v>
      </c>
      <c r="D256" s="336" t="s">
        <v>101</v>
      </c>
      <c r="E256" s="148"/>
      <c r="F256" s="338"/>
      <c r="G256" s="149"/>
      <c r="H256" s="344"/>
    </row>
    <row r="257" spans="1:8">
      <c r="A257" s="148">
        <v>264</v>
      </c>
      <c r="B257" s="148"/>
      <c r="C257" s="164" t="s">
        <v>723</v>
      </c>
      <c r="D257" s="336" t="s">
        <v>101</v>
      </c>
      <c r="E257" s="148"/>
      <c r="F257" s="338"/>
      <c r="G257" s="149"/>
      <c r="H257" s="344"/>
    </row>
    <row r="258" spans="1:8">
      <c r="A258" s="148">
        <v>265</v>
      </c>
      <c r="B258" s="148"/>
      <c r="C258" s="164" t="s">
        <v>724</v>
      </c>
      <c r="D258" s="336" t="s">
        <v>101</v>
      </c>
      <c r="E258" s="148"/>
      <c r="F258" s="338"/>
      <c r="G258" s="149"/>
      <c r="H258" s="344"/>
    </row>
    <row r="259" spans="1:8">
      <c r="A259" s="148">
        <v>266</v>
      </c>
      <c r="B259" s="148"/>
      <c r="C259" s="164" t="s">
        <v>725</v>
      </c>
      <c r="D259" s="336" t="s">
        <v>101</v>
      </c>
      <c r="E259" s="148"/>
      <c r="F259" s="338"/>
      <c r="G259" s="149"/>
      <c r="H259" s="344"/>
    </row>
    <row r="260" spans="1:8">
      <c r="A260" s="148">
        <v>267</v>
      </c>
      <c r="B260" s="148"/>
      <c r="C260" s="164" t="s">
        <v>726</v>
      </c>
      <c r="D260" s="336" t="s">
        <v>101</v>
      </c>
      <c r="E260" s="148"/>
      <c r="F260" s="338"/>
      <c r="G260" s="149"/>
      <c r="H260" s="344"/>
    </row>
    <row r="261" spans="1:8">
      <c r="A261" s="148">
        <v>268</v>
      </c>
      <c r="B261" s="148"/>
      <c r="C261" s="164" t="s">
        <v>727</v>
      </c>
      <c r="D261" s="336" t="s">
        <v>101</v>
      </c>
      <c r="E261" s="148"/>
      <c r="F261" s="338"/>
      <c r="G261" s="149"/>
      <c r="H261" s="344"/>
    </row>
    <row r="262" spans="1:8" ht="14.5">
      <c r="A262" s="148">
        <v>269</v>
      </c>
      <c r="B262" s="148"/>
      <c r="C262" s="345" t="s">
        <v>728</v>
      </c>
      <c r="D262" s="336" t="s">
        <v>101</v>
      </c>
      <c r="E262" s="148"/>
      <c r="F262" s="338"/>
      <c r="G262" s="149"/>
      <c r="H262" s="344"/>
    </row>
    <row r="263" spans="1:8" ht="14.5">
      <c r="A263" s="148">
        <v>270</v>
      </c>
      <c r="B263" s="148"/>
      <c r="C263" s="345" t="s">
        <v>729</v>
      </c>
      <c r="D263" s="336" t="s">
        <v>101</v>
      </c>
      <c r="E263" s="148"/>
      <c r="F263" s="338"/>
      <c r="G263" s="149"/>
      <c r="H263" s="344"/>
    </row>
    <row r="264" spans="1:8" ht="14.5">
      <c r="A264" s="148">
        <v>271</v>
      </c>
      <c r="B264" s="148"/>
      <c r="C264" s="345" t="s">
        <v>730</v>
      </c>
      <c r="D264" s="336" t="s">
        <v>101</v>
      </c>
      <c r="E264" s="148"/>
      <c r="F264" s="338"/>
      <c r="G264" s="149"/>
      <c r="H264" s="344"/>
    </row>
    <row r="265" spans="1:8" ht="14.5">
      <c r="A265" s="148">
        <v>272</v>
      </c>
      <c r="B265" s="148"/>
      <c r="C265" s="345" t="s">
        <v>731</v>
      </c>
      <c r="D265" s="336" t="s">
        <v>101</v>
      </c>
      <c r="E265" s="148"/>
      <c r="F265" s="338"/>
      <c r="G265" s="149"/>
      <c r="H265" s="344"/>
    </row>
    <row r="266" spans="1:8" ht="14.5">
      <c r="A266" s="148">
        <v>273</v>
      </c>
      <c r="B266" s="148"/>
      <c r="C266" s="345" t="s">
        <v>732</v>
      </c>
      <c r="D266" s="336" t="s">
        <v>101</v>
      </c>
      <c r="E266" s="148"/>
      <c r="F266" s="338"/>
      <c r="G266" s="149"/>
      <c r="H266" s="344"/>
    </row>
    <row r="267" spans="1:8">
      <c r="A267" s="148">
        <v>274</v>
      </c>
      <c r="B267" s="148"/>
      <c r="C267" s="164" t="s">
        <v>733</v>
      </c>
      <c r="D267" s="336" t="s">
        <v>101</v>
      </c>
      <c r="E267" s="148"/>
      <c r="F267" s="338"/>
      <c r="G267" s="149"/>
      <c r="H267" s="344"/>
    </row>
    <row r="268" spans="1:8">
      <c r="A268" s="148">
        <v>275</v>
      </c>
      <c r="B268" s="148"/>
      <c r="C268" s="164" t="s">
        <v>734</v>
      </c>
      <c r="D268" s="336" t="s">
        <v>101</v>
      </c>
      <c r="E268" s="148"/>
      <c r="F268" s="338"/>
      <c r="G268" s="149"/>
      <c r="H268" s="344"/>
    </row>
    <row r="269" spans="1:8">
      <c r="A269" s="148">
        <v>276</v>
      </c>
      <c r="B269" s="148"/>
      <c r="C269" s="164" t="s">
        <v>735</v>
      </c>
      <c r="D269" s="336" t="s">
        <v>101</v>
      </c>
      <c r="E269" s="148"/>
      <c r="F269" s="338"/>
      <c r="G269" s="149"/>
      <c r="H269" s="344"/>
    </row>
    <row r="270" spans="1:8">
      <c r="A270" s="148">
        <v>277</v>
      </c>
      <c r="B270" s="148"/>
      <c r="C270" s="164" t="s">
        <v>736</v>
      </c>
      <c r="D270" s="336" t="s">
        <v>101</v>
      </c>
      <c r="E270" s="148"/>
      <c r="F270" s="338"/>
      <c r="G270" s="149"/>
      <c r="H270" s="344"/>
    </row>
    <row r="271" spans="1:8">
      <c r="A271" s="148">
        <v>278</v>
      </c>
      <c r="B271" s="148"/>
      <c r="C271" s="164" t="s">
        <v>737</v>
      </c>
      <c r="D271" s="336" t="s">
        <v>101</v>
      </c>
      <c r="E271" s="148"/>
      <c r="F271" s="338"/>
      <c r="G271" s="149"/>
      <c r="H271" s="344"/>
    </row>
    <row r="272" spans="1:8">
      <c r="A272" s="148">
        <v>279</v>
      </c>
      <c r="B272" s="148"/>
      <c r="C272" s="164" t="s">
        <v>738</v>
      </c>
      <c r="D272" s="336" t="s">
        <v>101</v>
      </c>
      <c r="E272" s="148"/>
      <c r="F272" s="338"/>
      <c r="G272" s="149"/>
      <c r="H272" s="344"/>
    </row>
    <row r="273" spans="1:8">
      <c r="A273" s="148">
        <v>280</v>
      </c>
      <c r="B273" s="148"/>
      <c r="C273" s="164" t="s">
        <v>739</v>
      </c>
      <c r="D273" s="336" t="s">
        <v>101</v>
      </c>
      <c r="E273" s="148"/>
      <c r="F273" s="338"/>
      <c r="G273" s="149"/>
      <c r="H273" s="344"/>
    </row>
    <row r="274" spans="1:8">
      <c r="A274" s="148">
        <v>281</v>
      </c>
      <c r="B274" s="148"/>
      <c r="C274" s="164" t="s">
        <v>740</v>
      </c>
      <c r="D274" s="336" t="s">
        <v>101</v>
      </c>
      <c r="E274" s="148">
        <v>1</v>
      </c>
      <c r="F274" s="338"/>
      <c r="G274" s="149"/>
      <c r="H274" s="344"/>
    </row>
    <row r="275" spans="1:8">
      <c r="A275" s="148">
        <v>282</v>
      </c>
      <c r="B275" s="148"/>
      <c r="C275" s="164" t="s">
        <v>741</v>
      </c>
      <c r="D275" s="336" t="s">
        <v>101</v>
      </c>
      <c r="E275" s="148"/>
      <c r="F275" s="338"/>
      <c r="G275" s="149"/>
      <c r="H275" s="344"/>
    </row>
    <row r="276" spans="1:8">
      <c r="A276" s="148">
        <v>283</v>
      </c>
      <c r="B276" s="148"/>
      <c r="C276" s="164" t="s">
        <v>742</v>
      </c>
      <c r="D276" s="336" t="s">
        <v>101</v>
      </c>
      <c r="E276" s="148"/>
      <c r="F276" s="338"/>
      <c r="G276" s="149"/>
      <c r="H276" s="344"/>
    </row>
    <row r="277" spans="1:8">
      <c r="A277" s="148">
        <v>284</v>
      </c>
      <c r="B277" s="148"/>
      <c r="C277" s="164" t="s">
        <v>743</v>
      </c>
      <c r="D277" s="336" t="s">
        <v>101</v>
      </c>
      <c r="E277" s="148"/>
      <c r="F277" s="338"/>
      <c r="G277" s="149"/>
      <c r="H277" s="344"/>
    </row>
    <row r="278" spans="1:8">
      <c r="A278" s="148">
        <v>285</v>
      </c>
      <c r="B278" s="148"/>
      <c r="C278" s="164" t="s">
        <v>744</v>
      </c>
      <c r="D278" s="336" t="s">
        <v>101</v>
      </c>
      <c r="E278" s="148"/>
      <c r="F278" s="338"/>
      <c r="G278" s="149"/>
      <c r="H278" s="344"/>
    </row>
    <row r="279" spans="1:8">
      <c r="A279" s="148">
        <v>286</v>
      </c>
      <c r="B279" s="148"/>
      <c r="C279" s="164" t="s">
        <v>745</v>
      </c>
      <c r="D279" s="336" t="s">
        <v>101</v>
      </c>
      <c r="E279" s="148"/>
      <c r="F279" s="338"/>
      <c r="G279" s="149"/>
      <c r="H279" s="344"/>
    </row>
    <row r="280" spans="1:8">
      <c r="A280" s="148">
        <v>287</v>
      </c>
      <c r="B280" s="148"/>
      <c r="C280" s="164" t="s">
        <v>746</v>
      </c>
      <c r="D280" s="336" t="s">
        <v>101</v>
      </c>
      <c r="E280" s="148"/>
      <c r="F280" s="338"/>
      <c r="G280" s="149"/>
      <c r="H280" s="344"/>
    </row>
    <row r="281" spans="1:8">
      <c r="A281" s="148">
        <v>288</v>
      </c>
      <c r="B281" s="148"/>
      <c r="C281" s="164" t="s">
        <v>747</v>
      </c>
      <c r="D281" s="336" t="s">
        <v>101</v>
      </c>
      <c r="E281" s="148"/>
      <c r="F281" s="338"/>
      <c r="G281" s="149"/>
      <c r="H281" s="344"/>
    </row>
    <row r="282" spans="1:8">
      <c r="A282" s="148">
        <v>289</v>
      </c>
      <c r="B282" s="148"/>
      <c r="C282" s="164" t="s">
        <v>748</v>
      </c>
      <c r="D282" s="336" t="s">
        <v>101</v>
      </c>
      <c r="E282" s="148"/>
      <c r="F282" s="338"/>
      <c r="G282" s="149"/>
      <c r="H282" s="344"/>
    </row>
    <row r="283" spans="1:8">
      <c r="A283" s="148">
        <v>290</v>
      </c>
      <c r="B283" s="148"/>
      <c r="C283" s="164" t="s">
        <v>749</v>
      </c>
      <c r="D283" s="336" t="s">
        <v>101</v>
      </c>
      <c r="E283" s="148"/>
      <c r="F283" s="338"/>
      <c r="G283" s="149"/>
      <c r="H283" s="344"/>
    </row>
    <row r="284" spans="1:8">
      <c r="A284" s="148">
        <v>291</v>
      </c>
      <c r="B284" s="148"/>
      <c r="C284" s="164" t="s">
        <v>750</v>
      </c>
      <c r="D284" s="336" t="s">
        <v>101</v>
      </c>
      <c r="E284" s="148"/>
      <c r="F284" s="338"/>
      <c r="G284" s="149"/>
      <c r="H284" s="344"/>
    </row>
    <row r="285" spans="1:8">
      <c r="A285" s="148">
        <v>292</v>
      </c>
      <c r="B285" s="148"/>
      <c r="C285" s="164" t="s">
        <v>751</v>
      </c>
      <c r="D285" s="336" t="s">
        <v>101</v>
      </c>
      <c r="E285" s="148"/>
      <c r="F285" s="338"/>
      <c r="G285" s="149"/>
      <c r="H285" s="344"/>
    </row>
    <row r="286" spans="1:8">
      <c r="A286" s="148">
        <v>293</v>
      </c>
      <c r="B286" s="148"/>
      <c r="C286" s="164" t="s">
        <v>752</v>
      </c>
      <c r="D286" s="336" t="s">
        <v>101</v>
      </c>
      <c r="E286" s="148"/>
      <c r="F286" s="338"/>
      <c r="G286" s="149"/>
      <c r="H286" s="344"/>
    </row>
    <row r="287" spans="1:8">
      <c r="A287" s="148">
        <v>294</v>
      </c>
      <c r="B287" s="148"/>
      <c r="C287" s="164" t="s">
        <v>753</v>
      </c>
      <c r="D287" s="336" t="s">
        <v>101</v>
      </c>
      <c r="E287" s="148"/>
      <c r="F287" s="338"/>
      <c r="G287" s="149"/>
      <c r="H287" s="344"/>
    </row>
    <row r="288" spans="1:8">
      <c r="A288" s="148">
        <v>295</v>
      </c>
      <c r="B288" s="148"/>
      <c r="C288" s="164" t="s">
        <v>754</v>
      </c>
      <c r="D288" s="336" t="s">
        <v>101</v>
      </c>
      <c r="E288" s="148"/>
      <c r="F288" s="338"/>
      <c r="G288" s="149"/>
      <c r="H288" s="344"/>
    </row>
    <row r="289" spans="1:8">
      <c r="A289" s="148">
        <v>296</v>
      </c>
      <c r="B289" s="148"/>
      <c r="C289" s="164" t="s">
        <v>755</v>
      </c>
      <c r="D289" s="336" t="s">
        <v>101</v>
      </c>
      <c r="E289" s="148"/>
      <c r="F289" s="338"/>
      <c r="G289" s="149"/>
      <c r="H289" s="344"/>
    </row>
    <row r="290" spans="1:8">
      <c r="A290" s="148">
        <v>297</v>
      </c>
      <c r="B290" s="148"/>
      <c r="C290" s="164" t="s">
        <v>756</v>
      </c>
      <c r="D290" s="336" t="s">
        <v>101</v>
      </c>
      <c r="E290" s="148"/>
      <c r="F290" s="338"/>
      <c r="G290" s="149"/>
      <c r="H290" s="344"/>
    </row>
    <row r="291" spans="1:8">
      <c r="A291" s="148">
        <v>298</v>
      </c>
      <c r="B291" s="148"/>
      <c r="C291" s="164" t="s">
        <v>757</v>
      </c>
      <c r="D291" s="336" t="s">
        <v>101</v>
      </c>
      <c r="E291" s="148"/>
      <c r="F291" s="338"/>
      <c r="G291" s="149"/>
      <c r="H291" s="344"/>
    </row>
    <row r="292" spans="1:8">
      <c r="A292" s="148">
        <v>299</v>
      </c>
      <c r="B292" s="148"/>
      <c r="C292" s="164" t="s">
        <v>758</v>
      </c>
      <c r="D292" s="336" t="s">
        <v>101</v>
      </c>
      <c r="E292" s="148"/>
      <c r="F292" s="338"/>
      <c r="G292" s="149"/>
      <c r="H292" s="344"/>
    </row>
    <row r="293" spans="1:8" ht="14.5">
      <c r="A293" s="148">
        <v>300</v>
      </c>
      <c r="B293" s="148"/>
      <c r="C293" s="345" t="s">
        <v>759</v>
      </c>
      <c r="D293" s="336" t="s">
        <v>760</v>
      </c>
      <c r="E293" s="148"/>
      <c r="F293" s="338"/>
      <c r="G293" s="149"/>
      <c r="H293" s="344"/>
    </row>
    <row r="294" spans="1:8">
      <c r="A294" s="148">
        <v>301</v>
      </c>
      <c r="B294" s="148"/>
      <c r="C294" s="164" t="s">
        <v>761</v>
      </c>
      <c r="D294" s="336" t="s">
        <v>101</v>
      </c>
      <c r="E294" s="148">
        <v>0.25</v>
      </c>
      <c r="F294" s="338"/>
      <c r="G294" s="149"/>
      <c r="H294" s="344"/>
    </row>
    <row r="295" spans="1:8">
      <c r="A295" s="148">
        <v>302</v>
      </c>
      <c r="B295" s="148"/>
      <c r="C295" s="164" t="s">
        <v>762</v>
      </c>
      <c r="D295" s="336" t="s">
        <v>101</v>
      </c>
      <c r="E295" s="148">
        <v>0.12</v>
      </c>
      <c r="F295" s="338"/>
      <c r="G295" s="149"/>
      <c r="H295" s="344"/>
    </row>
    <row r="296" spans="1:8">
      <c r="A296" s="148">
        <v>303</v>
      </c>
      <c r="B296" s="148"/>
      <c r="C296" s="164" t="s">
        <v>763</v>
      </c>
      <c r="D296" s="336" t="s">
        <v>101</v>
      </c>
      <c r="E296" s="148">
        <v>0.1</v>
      </c>
      <c r="F296" s="338"/>
      <c r="G296" s="149"/>
      <c r="H296" s="344"/>
    </row>
    <row r="297" spans="1:8">
      <c r="A297" s="148">
        <v>304</v>
      </c>
      <c r="B297" s="148"/>
      <c r="C297" s="164" t="s">
        <v>764</v>
      </c>
      <c r="D297" s="336" t="s">
        <v>101</v>
      </c>
      <c r="E297" s="148">
        <v>0.01</v>
      </c>
      <c r="F297" s="338"/>
      <c r="G297" s="149"/>
      <c r="H297" s="344"/>
    </row>
    <row r="298" spans="1:8">
      <c r="A298" s="148">
        <v>305</v>
      </c>
      <c r="B298" s="148"/>
      <c r="C298" s="164" t="s">
        <v>765</v>
      </c>
      <c r="D298" s="336" t="s">
        <v>101</v>
      </c>
      <c r="E298" s="148">
        <v>1</v>
      </c>
      <c r="F298" s="338"/>
      <c r="G298" s="149"/>
      <c r="H298" s="344"/>
    </row>
    <row r="299" spans="1:8">
      <c r="A299" s="148">
        <v>306</v>
      </c>
      <c r="B299" s="148"/>
      <c r="C299" s="164" t="s">
        <v>766</v>
      </c>
      <c r="D299" s="336" t="s">
        <v>101</v>
      </c>
      <c r="E299" s="148">
        <v>5</v>
      </c>
      <c r="F299" s="338"/>
      <c r="G299" s="149"/>
      <c r="H299" s="344"/>
    </row>
    <row r="300" spans="1:8">
      <c r="A300" s="148">
        <v>307</v>
      </c>
      <c r="B300" s="148"/>
      <c r="C300" s="164" t="s">
        <v>767</v>
      </c>
      <c r="D300" s="336" t="s">
        <v>760</v>
      </c>
      <c r="E300" s="148">
        <v>0.5</v>
      </c>
      <c r="F300" s="338"/>
      <c r="G300" s="149"/>
      <c r="H300" s="344"/>
    </row>
    <row r="301" spans="1:8">
      <c r="A301" s="148">
        <v>308</v>
      </c>
      <c r="B301" s="148"/>
      <c r="C301" s="164" t="s">
        <v>768</v>
      </c>
      <c r="D301" s="336" t="s">
        <v>101</v>
      </c>
      <c r="E301" s="148"/>
      <c r="F301" s="338"/>
      <c r="G301" s="149"/>
      <c r="H301" s="344"/>
    </row>
    <row r="302" spans="1:8">
      <c r="A302" s="148">
        <v>309</v>
      </c>
      <c r="B302" s="148"/>
      <c r="C302" s="164" t="s">
        <v>769</v>
      </c>
      <c r="D302" s="336" t="s">
        <v>760</v>
      </c>
      <c r="E302" s="148">
        <v>0.05</v>
      </c>
      <c r="F302" s="338"/>
      <c r="G302" s="149"/>
      <c r="H302" s="344"/>
    </row>
    <row r="303" spans="1:8">
      <c r="A303" s="148">
        <v>310</v>
      </c>
      <c r="B303" s="148"/>
      <c r="C303" s="164" t="s">
        <v>770</v>
      </c>
      <c r="D303" s="336" t="s">
        <v>101</v>
      </c>
      <c r="E303" s="148">
        <v>0.05</v>
      </c>
      <c r="F303" s="338"/>
      <c r="G303" s="149"/>
      <c r="H303" s="344"/>
    </row>
    <row r="304" spans="1:8">
      <c r="A304" s="148">
        <v>311</v>
      </c>
      <c r="B304" s="148"/>
      <c r="C304" s="164" t="s">
        <v>771</v>
      </c>
      <c r="D304" s="336" t="s">
        <v>101</v>
      </c>
      <c r="E304" s="148">
        <v>1</v>
      </c>
      <c r="F304" s="338"/>
      <c r="G304" s="149"/>
      <c r="H304" s="344"/>
    </row>
    <row r="305" spans="1:8">
      <c r="A305" s="148">
        <v>312</v>
      </c>
      <c r="B305" s="148"/>
      <c r="C305" s="164" t="s">
        <v>772</v>
      </c>
      <c r="D305" s="336" t="s">
        <v>101</v>
      </c>
      <c r="E305" s="148"/>
      <c r="F305" s="338"/>
      <c r="G305" s="149"/>
      <c r="H305" s="344"/>
    </row>
    <row r="306" spans="1:8">
      <c r="A306" s="148">
        <v>313</v>
      </c>
      <c r="B306" s="148"/>
      <c r="C306" s="164" t="s">
        <v>773</v>
      </c>
      <c r="D306" s="336" t="s">
        <v>101</v>
      </c>
      <c r="E306" s="148">
        <v>1</v>
      </c>
      <c r="F306" s="338"/>
      <c r="G306" s="149"/>
      <c r="H306" s="344"/>
    </row>
    <row r="307" spans="1:8">
      <c r="A307" s="148">
        <v>314</v>
      </c>
      <c r="B307" s="148"/>
      <c r="C307" s="164" t="s">
        <v>774</v>
      </c>
      <c r="D307" s="336" t="s">
        <v>101</v>
      </c>
      <c r="E307" s="148">
        <v>0.1</v>
      </c>
      <c r="F307" s="338"/>
      <c r="G307" s="149"/>
      <c r="H307" s="344"/>
    </row>
    <row r="308" spans="1:8">
      <c r="A308" s="148">
        <v>315</v>
      </c>
      <c r="B308" s="148"/>
      <c r="C308" s="164" t="s">
        <v>775</v>
      </c>
      <c r="D308" s="336" t="s">
        <v>101</v>
      </c>
      <c r="E308" s="148">
        <v>1</v>
      </c>
      <c r="F308" s="338"/>
      <c r="G308" s="149"/>
      <c r="H308" s="344"/>
    </row>
    <row r="309" spans="1:8" ht="14.5">
      <c r="A309" s="148">
        <v>316</v>
      </c>
      <c r="B309" s="148"/>
      <c r="C309" s="345" t="s">
        <v>776</v>
      </c>
      <c r="D309" s="336" t="s">
        <v>760</v>
      </c>
      <c r="E309" s="148">
        <v>1.034</v>
      </c>
      <c r="F309" s="338"/>
      <c r="G309" s="149"/>
      <c r="H309" s="344"/>
    </row>
    <row r="310" spans="1:8" ht="14.5">
      <c r="A310" s="148">
        <v>317</v>
      </c>
      <c r="B310" s="148"/>
      <c r="C310" s="345" t="s">
        <v>777</v>
      </c>
      <c r="D310" s="336" t="s">
        <v>760</v>
      </c>
      <c r="E310" s="148"/>
      <c r="F310" s="338"/>
      <c r="G310" s="149"/>
      <c r="H310" s="344"/>
    </row>
    <row r="311" spans="1:8" ht="14.5">
      <c r="A311" s="148">
        <v>318</v>
      </c>
      <c r="B311" s="148"/>
      <c r="C311" s="345" t="s">
        <v>778</v>
      </c>
      <c r="D311" s="336" t="s">
        <v>760</v>
      </c>
      <c r="E311" s="148"/>
      <c r="F311" s="338"/>
      <c r="G311" s="149"/>
      <c r="H311" s="344"/>
    </row>
    <row r="312" spans="1:8">
      <c r="A312" s="148">
        <v>319</v>
      </c>
      <c r="B312" s="148"/>
      <c r="C312" s="164" t="s">
        <v>779</v>
      </c>
      <c r="D312" s="336" t="s">
        <v>101</v>
      </c>
      <c r="E312" s="148"/>
      <c r="F312" s="338"/>
      <c r="G312" s="149"/>
      <c r="H312" s="344"/>
    </row>
    <row r="313" spans="1:8">
      <c r="A313" s="148">
        <v>320</v>
      </c>
      <c r="B313" s="148"/>
      <c r="C313" s="164" t="s">
        <v>780</v>
      </c>
      <c r="D313" s="336" t="s">
        <v>101</v>
      </c>
      <c r="E313" s="148"/>
      <c r="F313" s="338"/>
      <c r="G313" s="149"/>
      <c r="H313" s="344"/>
    </row>
    <row r="314" spans="1:8">
      <c r="A314" s="148">
        <v>321</v>
      </c>
      <c r="B314" s="148"/>
      <c r="C314" s="164" t="s">
        <v>781</v>
      </c>
      <c r="D314" s="336" t="s">
        <v>101</v>
      </c>
      <c r="E314" s="148"/>
      <c r="F314" s="338"/>
      <c r="G314" s="149"/>
      <c r="H314" s="344"/>
    </row>
    <row r="315" spans="1:8">
      <c r="A315" s="148">
        <v>322</v>
      </c>
      <c r="B315" s="148"/>
      <c r="C315" s="164" t="s">
        <v>782</v>
      </c>
      <c r="D315" s="336" t="s">
        <v>101</v>
      </c>
      <c r="E315" s="148"/>
      <c r="F315" s="338"/>
      <c r="G315" s="149"/>
      <c r="H315" s="344"/>
    </row>
    <row r="316" spans="1:8">
      <c r="A316" s="148">
        <v>323</v>
      </c>
      <c r="B316" s="148"/>
      <c r="C316" s="164" t="s">
        <v>783</v>
      </c>
      <c r="D316" s="336" t="s">
        <v>101</v>
      </c>
      <c r="E316" s="148"/>
      <c r="F316" s="338"/>
      <c r="G316" s="149"/>
      <c r="H316" s="344"/>
    </row>
    <row r="317" spans="1:8">
      <c r="A317" s="148">
        <v>324</v>
      </c>
      <c r="B317" s="148"/>
      <c r="C317" s="164" t="s">
        <v>784</v>
      </c>
      <c r="D317" s="336" t="s">
        <v>101</v>
      </c>
      <c r="E317" s="148"/>
      <c r="F317" s="338"/>
      <c r="G317" s="149"/>
      <c r="H317" s="344"/>
    </row>
    <row r="318" spans="1:8">
      <c r="A318" s="148">
        <v>325</v>
      </c>
      <c r="B318" s="148"/>
      <c r="C318" s="164" t="s">
        <v>785</v>
      </c>
      <c r="D318" s="336" t="s">
        <v>101</v>
      </c>
      <c r="E318" s="148"/>
      <c r="F318" s="338"/>
      <c r="G318" s="149"/>
      <c r="H318" s="344"/>
    </row>
    <row r="319" spans="1:8" ht="42">
      <c r="A319" s="148">
        <v>326</v>
      </c>
      <c r="B319" s="148"/>
      <c r="C319" s="164" t="s">
        <v>786</v>
      </c>
      <c r="D319" s="336" t="s">
        <v>101</v>
      </c>
      <c r="E319" s="148"/>
      <c r="F319" s="338"/>
      <c r="G319" s="149"/>
      <c r="H319" s="344"/>
    </row>
    <row r="320" spans="1:8">
      <c r="A320" s="148">
        <v>327</v>
      </c>
      <c r="B320" s="148"/>
      <c r="C320" s="164" t="s">
        <v>787</v>
      </c>
      <c r="D320" s="336" t="s">
        <v>101</v>
      </c>
      <c r="E320" s="148">
        <v>3</v>
      </c>
      <c r="F320" s="338"/>
      <c r="G320" s="149"/>
      <c r="H320" s="344"/>
    </row>
    <row r="321" spans="1:8">
      <c r="A321" s="148">
        <v>328</v>
      </c>
      <c r="B321" s="148"/>
      <c r="C321" s="164" t="s">
        <v>788</v>
      </c>
      <c r="D321" s="336" t="s">
        <v>101</v>
      </c>
      <c r="E321" s="148"/>
      <c r="F321" s="338"/>
      <c r="G321" s="149"/>
      <c r="H321" s="344"/>
    </row>
    <row r="322" spans="1:8">
      <c r="A322" s="148">
        <v>329</v>
      </c>
      <c r="B322" s="148"/>
      <c r="C322" s="164" t="s">
        <v>789</v>
      </c>
      <c r="D322" s="336" t="s">
        <v>101</v>
      </c>
      <c r="E322" s="148"/>
      <c r="F322" s="338"/>
      <c r="G322" s="149"/>
      <c r="H322" s="344"/>
    </row>
    <row r="323" spans="1:8">
      <c r="A323" s="148">
        <v>330</v>
      </c>
      <c r="B323" s="148"/>
      <c r="C323" s="164" t="s">
        <v>790</v>
      </c>
      <c r="D323" s="336" t="s">
        <v>101</v>
      </c>
      <c r="E323" s="148"/>
      <c r="F323" s="338"/>
      <c r="G323" s="149"/>
      <c r="H323" s="344"/>
    </row>
    <row r="324" spans="1:8" ht="14.5">
      <c r="A324" s="148">
        <v>331</v>
      </c>
      <c r="B324" s="148"/>
      <c r="C324" s="345" t="s">
        <v>791</v>
      </c>
      <c r="D324" s="336" t="s">
        <v>101</v>
      </c>
      <c r="E324" s="148"/>
      <c r="F324" s="338"/>
      <c r="G324" s="149"/>
      <c r="H324" s="344"/>
    </row>
    <row r="325" spans="1:8">
      <c r="A325" s="148">
        <v>332</v>
      </c>
      <c r="B325" s="148"/>
      <c r="C325" s="164" t="s">
        <v>792</v>
      </c>
      <c r="D325" s="336" t="s">
        <v>101</v>
      </c>
      <c r="E325" s="148"/>
      <c r="F325" s="338"/>
      <c r="G325" s="149"/>
      <c r="H325" s="344"/>
    </row>
    <row r="326" spans="1:8">
      <c r="A326" s="148">
        <v>333</v>
      </c>
      <c r="B326" s="148"/>
      <c r="C326" s="164" t="s">
        <v>793</v>
      </c>
      <c r="D326" s="336" t="s">
        <v>101</v>
      </c>
      <c r="E326" s="148">
        <v>0.1</v>
      </c>
      <c r="F326" s="338"/>
      <c r="G326" s="149"/>
      <c r="H326" s="344"/>
    </row>
    <row r="327" spans="1:8">
      <c r="A327" s="148">
        <v>334</v>
      </c>
      <c r="B327" s="148"/>
      <c r="C327" s="164" t="s">
        <v>794</v>
      </c>
      <c r="D327" s="336" t="s">
        <v>101</v>
      </c>
      <c r="E327" s="148">
        <v>1</v>
      </c>
      <c r="F327" s="338"/>
      <c r="G327" s="149"/>
      <c r="H327" s="344"/>
    </row>
    <row r="328" spans="1:8">
      <c r="A328" s="148">
        <v>335</v>
      </c>
      <c r="B328" s="148"/>
      <c r="C328" s="148" t="s">
        <v>795</v>
      </c>
      <c r="D328" s="336" t="s">
        <v>101</v>
      </c>
      <c r="E328" s="148">
        <v>199</v>
      </c>
      <c r="F328" s="338"/>
      <c r="G328" s="149"/>
      <c r="H328" s="344"/>
    </row>
    <row r="329" spans="1:8">
      <c r="A329" s="148">
        <v>336</v>
      </c>
      <c r="B329" s="148"/>
      <c r="C329" s="148"/>
      <c r="D329" s="336"/>
      <c r="E329" s="148"/>
      <c r="F329" s="338"/>
      <c r="G329" s="149"/>
      <c r="H329" s="344"/>
    </row>
    <row r="330" spans="1:8" ht="28">
      <c r="A330" s="148">
        <v>337</v>
      </c>
      <c r="B330" s="148"/>
      <c r="C330" s="164" t="s">
        <v>796</v>
      </c>
      <c r="D330" s="148" t="s">
        <v>101</v>
      </c>
      <c r="E330" s="148">
        <v>57</v>
      </c>
      <c r="F330" s="338"/>
      <c r="G330" s="149"/>
      <c r="H330" s="339"/>
    </row>
    <row r="331" spans="1:8" ht="42">
      <c r="A331" s="148">
        <v>340</v>
      </c>
      <c r="B331" s="148" t="s">
        <v>558</v>
      </c>
      <c r="C331" s="164" t="s">
        <v>797</v>
      </c>
      <c r="D331" s="148" t="s">
        <v>101</v>
      </c>
      <c r="E331" s="148">
        <f>24+52</f>
        <v>76</v>
      </c>
      <c r="F331" s="149"/>
      <c r="G331" s="149"/>
      <c r="H331" s="339"/>
    </row>
    <row r="332" spans="1:8">
      <c r="A332" s="148">
        <v>341</v>
      </c>
      <c r="B332" s="148" t="s">
        <v>474</v>
      </c>
      <c r="C332" s="148" t="s">
        <v>798</v>
      </c>
      <c r="D332" s="336" t="s">
        <v>101</v>
      </c>
      <c r="E332" s="148">
        <v>0.24</v>
      </c>
      <c r="F332" s="338"/>
      <c r="G332" s="149"/>
      <c r="H332" s="339"/>
    </row>
    <row r="333" spans="1:8" ht="43.9" customHeight="1">
      <c r="A333" s="148">
        <v>342</v>
      </c>
      <c r="B333" s="148" t="s">
        <v>799</v>
      </c>
      <c r="C333" s="346" t="s">
        <v>800</v>
      </c>
      <c r="D333" s="336" t="s">
        <v>101</v>
      </c>
      <c r="E333" s="148">
        <v>0.5</v>
      </c>
      <c r="F333" s="338"/>
      <c r="G333" s="149"/>
      <c r="H333" s="344"/>
    </row>
    <row r="334" spans="1:8" ht="14.5">
      <c r="A334" s="148">
        <v>343</v>
      </c>
      <c r="B334" s="148" t="s">
        <v>799</v>
      </c>
      <c r="C334" s="346" t="s">
        <v>801</v>
      </c>
      <c r="D334" s="336" t="s">
        <v>101</v>
      </c>
      <c r="E334" s="148">
        <v>0.5</v>
      </c>
      <c r="F334" s="338"/>
      <c r="G334" s="149"/>
      <c r="H334" s="344"/>
    </row>
    <row r="335" spans="1:8" ht="14.5">
      <c r="A335" s="148">
        <v>344</v>
      </c>
      <c r="B335" s="148" t="s">
        <v>799</v>
      </c>
      <c r="C335" s="346" t="s">
        <v>802</v>
      </c>
      <c r="D335" s="336" t="s">
        <v>101</v>
      </c>
      <c r="E335" s="148">
        <v>0.5</v>
      </c>
      <c r="F335" s="338"/>
      <c r="G335" s="149"/>
      <c r="H335" s="344"/>
    </row>
    <row r="336" spans="1:8">
      <c r="A336" s="148">
        <v>345</v>
      </c>
      <c r="B336" s="148"/>
      <c r="C336" s="148" t="s">
        <v>803</v>
      </c>
      <c r="D336" s="148" t="s">
        <v>101</v>
      </c>
      <c r="E336" s="131">
        <v>0</v>
      </c>
      <c r="F336" s="149"/>
      <c r="G336" s="134"/>
      <c r="H336" s="145"/>
    </row>
    <row r="337" spans="1:8" ht="14.5">
      <c r="A337" s="148">
        <v>346</v>
      </c>
      <c r="B337" s="148" t="s">
        <v>799</v>
      </c>
      <c r="C337" s="346" t="s">
        <v>804</v>
      </c>
      <c r="D337" s="336" t="s">
        <v>101</v>
      </c>
      <c r="E337" s="148">
        <v>0.5</v>
      </c>
      <c r="F337" s="338"/>
      <c r="G337" s="149"/>
      <c r="H337" s="344"/>
    </row>
    <row r="338" spans="1:8">
      <c r="A338" s="148">
        <v>347</v>
      </c>
      <c r="B338" s="148"/>
      <c r="C338" s="148" t="s">
        <v>805</v>
      </c>
      <c r="D338" s="148" t="s">
        <v>101</v>
      </c>
      <c r="E338" s="131">
        <v>0</v>
      </c>
      <c r="F338" s="149"/>
      <c r="G338" s="134"/>
      <c r="H338" s="145"/>
    </row>
    <row r="339" spans="1:8" ht="14.5">
      <c r="A339" s="148">
        <v>348</v>
      </c>
      <c r="B339" s="148" t="s">
        <v>799</v>
      </c>
      <c r="C339" s="346" t="s">
        <v>672</v>
      </c>
      <c r="D339" s="336" t="s">
        <v>101</v>
      </c>
      <c r="E339" s="148">
        <v>0.5</v>
      </c>
      <c r="F339" s="338"/>
      <c r="G339" s="149"/>
      <c r="H339" s="344"/>
    </row>
    <row r="340" spans="1:8" ht="14.5">
      <c r="A340" s="148">
        <v>349</v>
      </c>
      <c r="B340" s="148" t="s">
        <v>799</v>
      </c>
      <c r="C340" s="346" t="s">
        <v>673</v>
      </c>
      <c r="D340" s="336" t="s">
        <v>101</v>
      </c>
      <c r="E340" s="148">
        <v>0.5</v>
      </c>
      <c r="F340" s="338"/>
      <c r="G340" s="149"/>
      <c r="H340" s="344"/>
    </row>
    <row r="341" spans="1:8" ht="14.5">
      <c r="A341" s="148">
        <v>350</v>
      </c>
      <c r="B341" s="148" t="s">
        <v>799</v>
      </c>
      <c r="C341" s="346" t="s">
        <v>806</v>
      </c>
      <c r="D341" s="336" t="s">
        <v>101</v>
      </c>
      <c r="E341" s="148">
        <v>0.5</v>
      </c>
      <c r="F341" s="338"/>
      <c r="G341" s="149"/>
      <c r="H341" s="344"/>
    </row>
    <row r="342" spans="1:8" ht="30" customHeight="1">
      <c r="A342" s="148">
        <v>351</v>
      </c>
      <c r="B342" s="148" t="s">
        <v>799</v>
      </c>
      <c r="C342" s="346" t="s">
        <v>807</v>
      </c>
      <c r="D342" s="336" t="s">
        <v>101</v>
      </c>
      <c r="E342" s="148">
        <v>0.5</v>
      </c>
      <c r="F342" s="338"/>
      <c r="G342" s="149"/>
      <c r="H342" s="344"/>
    </row>
    <row r="343" spans="1:8">
      <c r="A343" s="148">
        <v>352</v>
      </c>
      <c r="B343" s="148" t="s">
        <v>799</v>
      </c>
      <c r="C343" s="148" t="s">
        <v>808</v>
      </c>
      <c r="D343" s="336" t="s">
        <v>101</v>
      </c>
      <c r="E343" s="148">
        <v>0.5</v>
      </c>
      <c r="F343" s="338"/>
      <c r="G343" s="149"/>
      <c r="H343" s="344"/>
    </row>
    <row r="344" spans="1:8">
      <c r="A344" s="148">
        <v>353</v>
      </c>
      <c r="B344" s="148" t="s">
        <v>799</v>
      </c>
      <c r="C344" s="148" t="s">
        <v>809</v>
      </c>
      <c r="D344" s="336" t="s">
        <v>101</v>
      </c>
      <c r="E344" s="148">
        <v>0.2</v>
      </c>
      <c r="F344" s="338"/>
      <c r="G344" s="149"/>
      <c r="H344" s="344"/>
    </row>
    <row r="345" spans="1:8" ht="31.9" customHeight="1">
      <c r="A345" s="148">
        <v>354</v>
      </c>
      <c r="B345" s="148" t="s">
        <v>799</v>
      </c>
      <c r="C345" s="148" t="s">
        <v>810</v>
      </c>
      <c r="D345" s="336" t="s">
        <v>101</v>
      </c>
      <c r="E345" s="148">
        <v>0.2</v>
      </c>
      <c r="F345" s="338"/>
      <c r="G345" s="149"/>
      <c r="H345" s="344"/>
    </row>
    <row r="346" spans="1:8">
      <c r="A346" s="148">
        <v>355</v>
      </c>
      <c r="B346" s="148" t="s">
        <v>799</v>
      </c>
      <c r="C346" s="148" t="s">
        <v>811</v>
      </c>
      <c r="D346" s="336" t="s">
        <v>101</v>
      </c>
      <c r="E346" s="148">
        <v>0.2</v>
      </c>
      <c r="F346" s="338"/>
      <c r="G346" s="149"/>
      <c r="H346" s="344"/>
    </row>
    <row r="347" spans="1:8">
      <c r="A347" s="148">
        <v>356</v>
      </c>
      <c r="B347" s="148" t="s">
        <v>799</v>
      </c>
      <c r="C347" s="148" t="s">
        <v>812</v>
      </c>
      <c r="D347" s="336" t="s">
        <v>101</v>
      </c>
      <c r="E347" s="148">
        <v>0.2</v>
      </c>
      <c r="F347" s="338"/>
      <c r="G347" s="149"/>
      <c r="H347" s="344"/>
    </row>
    <row r="348" spans="1:8">
      <c r="A348" s="148">
        <v>357</v>
      </c>
      <c r="B348" s="148" t="s">
        <v>799</v>
      </c>
      <c r="C348" s="148" t="s">
        <v>813</v>
      </c>
      <c r="D348" s="336" t="s">
        <v>101</v>
      </c>
      <c r="E348" s="148">
        <v>0.2</v>
      </c>
      <c r="F348" s="338"/>
      <c r="G348" s="149"/>
      <c r="H348" s="344"/>
    </row>
    <row r="349" spans="1:8">
      <c r="A349" s="148">
        <v>358</v>
      </c>
      <c r="B349" s="148" t="s">
        <v>534</v>
      </c>
      <c r="C349" s="148" t="s">
        <v>814</v>
      </c>
      <c r="D349" s="336" t="s">
        <v>101</v>
      </c>
      <c r="E349" s="148">
        <v>0.01</v>
      </c>
      <c r="F349" s="338"/>
      <c r="G349" s="149"/>
      <c r="H349" s="339"/>
    </row>
    <row r="350" spans="1:8">
      <c r="A350" s="148">
        <v>359</v>
      </c>
      <c r="B350" s="148" t="s">
        <v>534</v>
      </c>
      <c r="C350" s="336" t="s">
        <v>815</v>
      </c>
      <c r="D350" s="336" t="s">
        <v>101</v>
      </c>
      <c r="E350" s="148">
        <v>1.01</v>
      </c>
      <c r="F350" s="338"/>
      <c r="G350" s="149"/>
      <c r="H350" s="339"/>
    </row>
    <row r="351" spans="1:8">
      <c r="A351" s="148">
        <v>360</v>
      </c>
      <c r="B351" s="148" t="s">
        <v>534</v>
      </c>
      <c r="C351" s="336" t="s">
        <v>816</v>
      </c>
      <c r="D351" s="336" t="s">
        <v>101</v>
      </c>
      <c r="E351" s="148">
        <v>0.01</v>
      </c>
      <c r="F351" s="338"/>
      <c r="G351" s="149"/>
      <c r="H351" s="339"/>
    </row>
    <row r="352" spans="1:8">
      <c r="A352" s="148">
        <v>361</v>
      </c>
      <c r="B352" s="148" t="s">
        <v>457</v>
      </c>
      <c r="C352" s="148" t="s">
        <v>817</v>
      </c>
      <c r="D352" s="148" t="s">
        <v>101</v>
      </c>
      <c r="E352" s="148">
        <v>38.5</v>
      </c>
      <c r="F352" s="338"/>
      <c r="G352" s="149"/>
      <c r="H352" s="339"/>
    </row>
    <row r="353" spans="1:8">
      <c r="A353" s="148">
        <v>381</v>
      </c>
      <c r="B353" s="148" t="s">
        <v>534</v>
      </c>
      <c r="C353" s="164" t="s">
        <v>818</v>
      </c>
      <c r="D353" s="336" t="s">
        <v>101</v>
      </c>
      <c r="E353" s="148">
        <v>3</v>
      </c>
      <c r="F353" s="338"/>
      <c r="G353" s="149"/>
      <c r="H353" s="344"/>
    </row>
    <row r="354" spans="1:8">
      <c r="A354" s="148">
        <v>382</v>
      </c>
      <c r="B354" s="148" t="s">
        <v>819</v>
      </c>
      <c r="C354" s="347" t="s">
        <v>820</v>
      </c>
      <c r="D354" s="336" t="s">
        <v>101</v>
      </c>
      <c r="E354" s="148">
        <v>0.2</v>
      </c>
      <c r="F354" s="338"/>
      <c r="G354" s="149"/>
      <c r="H354" s="344"/>
    </row>
    <row r="355" spans="1:8">
      <c r="A355" s="148">
        <v>383</v>
      </c>
      <c r="B355" s="148" t="s">
        <v>819</v>
      </c>
      <c r="C355" s="347" t="s">
        <v>821</v>
      </c>
      <c r="D355" s="336" t="s">
        <v>101</v>
      </c>
      <c r="E355" s="148">
        <v>5</v>
      </c>
      <c r="F355" s="338"/>
      <c r="G355" s="149"/>
      <c r="H355" s="344"/>
    </row>
    <row r="356" spans="1:8">
      <c r="A356" s="148">
        <v>384</v>
      </c>
      <c r="B356" s="148" t="s">
        <v>819</v>
      </c>
      <c r="C356" s="347" t="s">
        <v>822</v>
      </c>
      <c r="D356" s="336" t="s">
        <v>101</v>
      </c>
      <c r="E356" s="148">
        <v>0.01</v>
      </c>
      <c r="F356" s="338"/>
      <c r="G356" s="149"/>
      <c r="H356" s="344"/>
    </row>
    <row r="357" spans="1:8">
      <c r="A357" s="148">
        <v>385</v>
      </c>
      <c r="B357" s="148" t="s">
        <v>819</v>
      </c>
      <c r="C357" s="347" t="s">
        <v>823</v>
      </c>
      <c r="D357" s="336" t="s">
        <v>101</v>
      </c>
      <c r="E357" s="148">
        <v>0.01</v>
      </c>
      <c r="F357" s="338"/>
      <c r="G357" s="149"/>
      <c r="H357" s="344"/>
    </row>
    <row r="358" spans="1:8">
      <c r="A358" s="148">
        <v>386</v>
      </c>
      <c r="B358" s="148" t="s">
        <v>819</v>
      </c>
      <c r="C358" s="347" t="s">
        <v>824</v>
      </c>
      <c r="D358" s="336" t="s">
        <v>101</v>
      </c>
      <c r="E358" s="148">
        <v>2</v>
      </c>
      <c r="F358" s="338"/>
      <c r="G358" s="149"/>
      <c r="H358" s="344"/>
    </row>
    <row r="359" spans="1:8">
      <c r="A359" s="148">
        <v>387</v>
      </c>
      <c r="B359" s="148" t="s">
        <v>819</v>
      </c>
      <c r="C359" s="347" t="s">
        <v>825</v>
      </c>
      <c r="D359" s="336" t="s">
        <v>101</v>
      </c>
      <c r="E359" s="148">
        <v>0.5</v>
      </c>
      <c r="F359" s="338"/>
      <c r="G359" s="149"/>
      <c r="H359" s="344"/>
    </row>
    <row r="360" spans="1:8">
      <c r="A360" s="148">
        <v>388</v>
      </c>
      <c r="B360" s="148" t="s">
        <v>819</v>
      </c>
      <c r="C360" s="347" t="s">
        <v>826</v>
      </c>
      <c r="D360" s="336" t="s">
        <v>101</v>
      </c>
      <c r="E360" s="148">
        <v>0.5</v>
      </c>
      <c r="F360" s="338"/>
      <c r="G360" s="149"/>
      <c r="H360" s="344"/>
    </row>
    <row r="361" spans="1:8">
      <c r="A361" s="148">
        <v>389</v>
      </c>
      <c r="B361" s="148" t="s">
        <v>819</v>
      </c>
      <c r="C361" s="347" t="s">
        <v>827</v>
      </c>
      <c r="D361" s="336" t="s">
        <v>101</v>
      </c>
      <c r="E361" s="148">
        <v>0.5</v>
      </c>
      <c r="F361" s="338"/>
      <c r="G361" s="149"/>
      <c r="H361" s="344"/>
    </row>
    <row r="362" spans="1:8">
      <c r="A362" s="148">
        <v>390</v>
      </c>
      <c r="B362" s="148" t="s">
        <v>819</v>
      </c>
      <c r="C362" s="347" t="s">
        <v>828</v>
      </c>
      <c r="D362" s="336" t="s">
        <v>101</v>
      </c>
      <c r="E362" s="148">
        <v>0.5</v>
      </c>
      <c r="F362" s="338"/>
      <c r="G362" s="149"/>
      <c r="H362" s="344"/>
    </row>
    <row r="363" spans="1:8">
      <c r="A363" s="148">
        <v>391</v>
      </c>
      <c r="B363" s="148" t="s">
        <v>819</v>
      </c>
      <c r="C363" s="347" t="s">
        <v>829</v>
      </c>
      <c r="D363" s="336" t="s">
        <v>101</v>
      </c>
      <c r="E363" s="148">
        <v>0.5</v>
      </c>
      <c r="F363" s="338"/>
      <c r="G363" s="149"/>
      <c r="H363" s="344"/>
    </row>
    <row r="364" spans="1:8" ht="14.5">
      <c r="A364" s="148">
        <v>392</v>
      </c>
      <c r="B364" s="148" t="s">
        <v>799</v>
      </c>
      <c r="C364" s="346" t="s">
        <v>830</v>
      </c>
      <c r="D364" s="336" t="s">
        <v>101</v>
      </c>
      <c r="E364" s="148">
        <v>0.5</v>
      </c>
      <c r="F364" s="338"/>
      <c r="G364" s="149"/>
      <c r="H364" s="339"/>
    </row>
    <row r="365" spans="1:8" ht="14.5">
      <c r="A365" s="148">
        <v>393</v>
      </c>
      <c r="B365" s="148" t="s">
        <v>799</v>
      </c>
      <c r="C365" s="346" t="s">
        <v>831</v>
      </c>
      <c r="D365" s="336" t="s">
        <v>101</v>
      </c>
      <c r="E365" s="148">
        <v>0.5</v>
      </c>
      <c r="F365" s="338"/>
      <c r="G365" s="149"/>
      <c r="H365" s="339"/>
    </row>
    <row r="366" spans="1:8" ht="14.5">
      <c r="A366" s="148">
        <v>394</v>
      </c>
      <c r="B366" s="148" t="s">
        <v>799</v>
      </c>
      <c r="C366" s="346" t="s">
        <v>832</v>
      </c>
      <c r="D366" s="336" t="s">
        <v>101</v>
      </c>
      <c r="E366" s="148">
        <v>0.5</v>
      </c>
      <c r="F366" s="338"/>
      <c r="G366" s="149"/>
      <c r="H366" s="339"/>
    </row>
    <row r="367" spans="1:8" ht="14.5">
      <c r="A367" s="148">
        <v>395</v>
      </c>
      <c r="B367" s="148" t="s">
        <v>799</v>
      </c>
      <c r="C367" s="346" t="s">
        <v>833</v>
      </c>
      <c r="D367" s="336" t="s">
        <v>101</v>
      </c>
      <c r="E367" s="148">
        <v>0.5</v>
      </c>
      <c r="F367" s="338"/>
      <c r="G367" s="149"/>
      <c r="H367" s="339"/>
    </row>
    <row r="368" spans="1:8" ht="14.5">
      <c r="A368" s="148">
        <v>397</v>
      </c>
      <c r="B368" s="148" t="s">
        <v>819</v>
      </c>
      <c r="C368" s="348" t="s">
        <v>834</v>
      </c>
      <c r="D368" s="336" t="s">
        <v>101</v>
      </c>
      <c r="E368" s="148">
        <v>0.5</v>
      </c>
      <c r="F368" s="338"/>
      <c r="G368" s="149"/>
      <c r="H368" s="349"/>
    </row>
    <row r="369" spans="1:8">
      <c r="A369" s="148">
        <v>398</v>
      </c>
      <c r="B369" s="148" t="s">
        <v>474</v>
      </c>
      <c r="C369" s="148" t="s">
        <v>835</v>
      </c>
      <c r="D369" s="336" t="s">
        <v>101</v>
      </c>
      <c r="E369" s="148">
        <v>0.24</v>
      </c>
      <c r="F369" s="338"/>
      <c r="G369" s="149"/>
      <c r="H369" s="339"/>
    </row>
    <row r="370" spans="1:8">
      <c r="A370" s="148">
        <v>400</v>
      </c>
      <c r="B370" s="148"/>
      <c r="C370" s="148" t="s">
        <v>836</v>
      </c>
      <c r="D370" s="336" t="s">
        <v>101</v>
      </c>
      <c r="E370" s="148">
        <v>0.1</v>
      </c>
      <c r="F370" s="338"/>
      <c r="G370" s="149"/>
      <c r="H370" s="339"/>
    </row>
    <row r="371" spans="1:8">
      <c r="A371" s="148">
        <v>401</v>
      </c>
      <c r="B371" s="148"/>
      <c r="C371" s="148" t="s">
        <v>837</v>
      </c>
      <c r="D371" s="336" t="s">
        <v>101</v>
      </c>
      <c r="E371" s="148">
        <v>0.25</v>
      </c>
      <c r="F371" s="338"/>
      <c r="G371" s="149"/>
      <c r="H371" s="349"/>
    </row>
    <row r="372" spans="1:8">
      <c r="A372" s="148">
        <v>402</v>
      </c>
      <c r="B372" s="148" t="s">
        <v>459</v>
      </c>
      <c r="C372" s="148" t="s">
        <v>838</v>
      </c>
      <c r="D372" s="148" t="s">
        <v>461</v>
      </c>
      <c r="E372" s="148">
        <v>1.0309999999999999</v>
      </c>
      <c r="F372" s="149"/>
      <c r="G372" s="149"/>
      <c r="H372" s="349"/>
    </row>
    <row r="373" spans="1:8">
      <c r="A373" s="148">
        <v>403</v>
      </c>
      <c r="B373" s="148" t="s">
        <v>459</v>
      </c>
      <c r="C373" s="148" t="s">
        <v>839</v>
      </c>
      <c r="D373" s="148" t="s">
        <v>461</v>
      </c>
      <c r="E373" s="148">
        <v>0.192</v>
      </c>
      <c r="F373" s="149"/>
      <c r="G373" s="149"/>
      <c r="H373" s="339"/>
    </row>
    <row r="374" spans="1:8">
      <c r="A374" s="148">
        <v>404</v>
      </c>
      <c r="B374" s="148" t="s">
        <v>459</v>
      </c>
      <c r="C374" s="148" t="s">
        <v>840</v>
      </c>
      <c r="D374" s="148" t="s">
        <v>461</v>
      </c>
      <c r="E374" s="148">
        <v>2.415</v>
      </c>
      <c r="F374" s="149"/>
      <c r="G374" s="149"/>
      <c r="H374" s="349"/>
    </row>
    <row r="375" spans="1:8">
      <c r="A375" s="148">
        <v>405</v>
      </c>
      <c r="B375" s="148"/>
      <c r="C375" s="148" t="s">
        <v>841</v>
      </c>
      <c r="D375" s="148" t="s">
        <v>461</v>
      </c>
      <c r="E375" s="148">
        <f>2.07/3</f>
        <v>0.69</v>
      </c>
      <c r="F375" s="149"/>
      <c r="G375" s="149"/>
      <c r="H375" s="349"/>
    </row>
    <row r="376" spans="1:8">
      <c r="A376" s="148">
        <v>406</v>
      </c>
      <c r="B376" s="148"/>
      <c r="C376" s="148" t="s">
        <v>842</v>
      </c>
      <c r="D376" s="148" t="s">
        <v>101</v>
      </c>
      <c r="E376" s="148">
        <v>5.8000000000000003E-2</v>
      </c>
      <c r="F376" s="149"/>
      <c r="G376" s="149"/>
      <c r="H376" s="349"/>
    </row>
    <row r="377" spans="1:8">
      <c r="A377" s="148">
        <v>407</v>
      </c>
      <c r="B377" s="148"/>
      <c r="C377" s="148" t="s">
        <v>843</v>
      </c>
      <c r="D377" s="148" t="s">
        <v>101</v>
      </c>
      <c r="E377" s="148">
        <v>5.8000000000000003E-2</v>
      </c>
      <c r="F377" s="149"/>
      <c r="G377" s="149"/>
      <c r="H377" s="349"/>
    </row>
    <row r="378" spans="1:8" ht="28">
      <c r="A378" s="148">
        <v>408</v>
      </c>
      <c r="B378" s="148" t="s">
        <v>457</v>
      </c>
      <c r="C378" s="164" t="s">
        <v>844</v>
      </c>
      <c r="D378" s="148" t="s">
        <v>101</v>
      </c>
      <c r="E378" s="148">
        <v>7.9</v>
      </c>
      <c r="F378" s="149"/>
      <c r="G378" s="149"/>
      <c r="H378" s="349"/>
    </row>
    <row r="379" spans="1:8" ht="28">
      <c r="A379" s="148">
        <v>409</v>
      </c>
      <c r="B379" s="148" t="s">
        <v>457</v>
      </c>
      <c r="C379" s="164" t="s">
        <v>845</v>
      </c>
      <c r="D379" s="148" t="s">
        <v>101</v>
      </c>
      <c r="E379" s="148">
        <v>19</v>
      </c>
      <c r="F379" s="149"/>
      <c r="G379" s="149"/>
      <c r="H379" s="349"/>
    </row>
    <row r="380" spans="1:8" ht="28">
      <c r="A380" s="148">
        <v>410</v>
      </c>
      <c r="B380" s="148"/>
      <c r="C380" s="164" t="s">
        <v>846</v>
      </c>
      <c r="D380" s="148" t="s">
        <v>101</v>
      </c>
      <c r="E380" s="148">
        <v>30</v>
      </c>
      <c r="F380" s="149"/>
      <c r="G380" s="149"/>
      <c r="H380" s="349"/>
    </row>
    <row r="381" spans="1:8">
      <c r="A381" s="148">
        <v>411</v>
      </c>
      <c r="B381" s="148"/>
      <c r="C381" s="148" t="s">
        <v>847</v>
      </c>
      <c r="D381" s="148" t="s">
        <v>101</v>
      </c>
      <c r="E381" s="148">
        <v>0.03</v>
      </c>
      <c r="F381" s="149"/>
      <c r="G381" s="149"/>
      <c r="H381" s="349"/>
    </row>
    <row r="382" spans="1:8" ht="28">
      <c r="A382" s="148">
        <v>412</v>
      </c>
      <c r="B382" s="148"/>
      <c r="C382" s="164" t="s">
        <v>848</v>
      </c>
      <c r="D382" s="148" t="s">
        <v>101</v>
      </c>
      <c r="E382" s="148">
        <v>80</v>
      </c>
      <c r="F382" s="149"/>
      <c r="G382" s="149"/>
      <c r="H382" s="349"/>
    </row>
    <row r="383" spans="1:8" s="337" customFormat="1">
      <c r="A383" s="148">
        <v>370</v>
      </c>
      <c r="B383" s="148" t="s">
        <v>558</v>
      </c>
      <c r="C383" s="148" t="s">
        <v>849</v>
      </c>
      <c r="D383" s="148" t="s">
        <v>282</v>
      </c>
      <c r="E383" s="148">
        <v>1</v>
      </c>
      <c r="F383" s="149"/>
      <c r="G383" s="149"/>
      <c r="H383" s="349"/>
    </row>
    <row r="384" spans="1:8" s="337" customFormat="1">
      <c r="A384" s="148">
        <v>371</v>
      </c>
      <c r="B384" s="148" t="s">
        <v>558</v>
      </c>
      <c r="C384" s="148" t="s">
        <v>850</v>
      </c>
      <c r="D384" s="148" t="s">
        <v>566</v>
      </c>
      <c r="E384" s="148">
        <v>1</v>
      </c>
      <c r="F384" s="149"/>
      <c r="G384" s="149"/>
      <c r="H384" s="349"/>
    </row>
    <row r="385" spans="1:8" s="337" customFormat="1">
      <c r="A385" s="148">
        <v>372</v>
      </c>
      <c r="B385" s="148" t="s">
        <v>558</v>
      </c>
      <c r="C385" s="148" t="s">
        <v>851</v>
      </c>
      <c r="D385" s="148" t="s">
        <v>566</v>
      </c>
      <c r="E385" s="148">
        <v>1</v>
      </c>
      <c r="F385" s="149"/>
      <c r="G385" s="149"/>
      <c r="H385" s="349"/>
    </row>
    <row r="386" spans="1:8" s="337" customFormat="1">
      <c r="A386" s="148">
        <v>373</v>
      </c>
      <c r="B386" s="148" t="s">
        <v>558</v>
      </c>
      <c r="C386" s="148" t="s">
        <v>852</v>
      </c>
      <c r="D386" s="148" t="s">
        <v>559</v>
      </c>
      <c r="E386" s="148">
        <v>74.849999999999994</v>
      </c>
      <c r="F386" s="149"/>
      <c r="G386" s="149"/>
      <c r="H386" s="349"/>
    </row>
    <row r="387" spans="1:8" s="337" customFormat="1">
      <c r="A387" s="148">
        <v>374</v>
      </c>
      <c r="B387" s="148" t="s">
        <v>558</v>
      </c>
      <c r="C387" s="148" t="s">
        <v>853</v>
      </c>
      <c r="D387" s="148" t="s">
        <v>559</v>
      </c>
      <c r="E387" s="148">
        <v>49.87</v>
      </c>
      <c r="F387" s="149"/>
      <c r="G387" s="149"/>
      <c r="H387" s="349"/>
    </row>
    <row r="388" spans="1:8" s="337" customFormat="1">
      <c r="A388" s="148">
        <v>375</v>
      </c>
      <c r="B388" s="148" t="s">
        <v>558</v>
      </c>
      <c r="C388" s="148" t="s">
        <v>854</v>
      </c>
      <c r="D388" s="148" t="s">
        <v>566</v>
      </c>
      <c r="E388" s="148">
        <v>1</v>
      </c>
      <c r="F388" s="149"/>
      <c r="G388" s="149"/>
      <c r="H388" s="349"/>
    </row>
    <row r="389" spans="1:8" s="337" customFormat="1">
      <c r="A389" s="148">
        <v>376</v>
      </c>
      <c r="B389" s="148" t="s">
        <v>558</v>
      </c>
      <c r="C389" s="148" t="s">
        <v>855</v>
      </c>
      <c r="D389" s="148" t="s">
        <v>856</v>
      </c>
      <c r="E389" s="148">
        <v>0.5</v>
      </c>
      <c r="F389" s="149"/>
      <c r="G389" s="149"/>
      <c r="H389" s="349"/>
    </row>
    <row r="390" spans="1:8" s="337" customFormat="1">
      <c r="A390" s="148">
        <v>377</v>
      </c>
      <c r="B390" s="148" t="s">
        <v>558</v>
      </c>
      <c r="C390" s="148" t="s">
        <v>857</v>
      </c>
      <c r="D390" s="148" t="s">
        <v>856</v>
      </c>
      <c r="E390" s="148">
        <v>0.1</v>
      </c>
      <c r="F390" s="149"/>
      <c r="G390" s="149"/>
      <c r="H390" s="349"/>
    </row>
    <row r="391" spans="1:8" s="337" customFormat="1">
      <c r="A391" s="148">
        <v>378</v>
      </c>
      <c r="B391" s="148" t="s">
        <v>558</v>
      </c>
      <c r="C391" s="148" t="s">
        <v>858</v>
      </c>
      <c r="D391" s="148" t="s">
        <v>566</v>
      </c>
      <c r="E391" s="148">
        <v>1</v>
      </c>
      <c r="F391" s="149"/>
      <c r="G391" s="149"/>
      <c r="H391" s="349"/>
    </row>
    <row r="392" spans="1:8" s="337" customFormat="1">
      <c r="A392" s="148">
        <v>379</v>
      </c>
      <c r="B392" s="148" t="s">
        <v>558</v>
      </c>
      <c r="C392" s="148" t="s">
        <v>859</v>
      </c>
      <c r="D392" s="148" t="s">
        <v>566</v>
      </c>
      <c r="E392" s="148">
        <v>1</v>
      </c>
      <c r="F392" s="149"/>
      <c r="G392" s="149"/>
      <c r="H392" s="349"/>
    </row>
    <row r="393" spans="1:8">
      <c r="A393" s="148"/>
      <c r="B393" s="148"/>
      <c r="C393" s="148"/>
      <c r="D393" s="148"/>
      <c r="E393" s="131"/>
      <c r="F393" s="149"/>
      <c r="G393" s="134"/>
      <c r="H393" s="145"/>
    </row>
    <row r="394" spans="1:8" s="144" customFormat="1">
      <c r="A394" s="138">
        <v>396</v>
      </c>
      <c r="B394" s="138" t="s">
        <v>558</v>
      </c>
      <c r="C394" s="139" t="s">
        <v>860</v>
      </c>
      <c r="D394" s="140" t="s">
        <v>563</v>
      </c>
      <c r="E394" s="138">
        <v>1700</v>
      </c>
      <c r="F394" s="141"/>
      <c r="G394" s="142"/>
      <c r="H394" s="143"/>
    </row>
    <row r="395" spans="1:8" ht="15" customHeight="1">
      <c r="A395" s="573"/>
      <c r="B395" s="574"/>
      <c r="C395" s="574"/>
      <c r="D395" s="574"/>
      <c r="E395" s="574"/>
      <c r="F395" s="574"/>
      <c r="G395" s="574"/>
      <c r="H395" s="574"/>
    </row>
    <row r="396" spans="1:8" ht="15" customHeight="1">
      <c r="A396" s="574"/>
      <c r="B396" s="574"/>
      <c r="C396" s="574"/>
      <c r="D396" s="574"/>
      <c r="E396" s="574"/>
      <c r="F396" s="574"/>
      <c r="G396" s="574"/>
      <c r="H396" s="574"/>
    </row>
    <row r="397" spans="1:8" ht="15" customHeight="1">
      <c r="A397" s="574"/>
      <c r="B397" s="574"/>
      <c r="C397" s="574"/>
      <c r="D397" s="574"/>
      <c r="E397" s="574"/>
      <c r="F397" s="574"/>
      <c r="G397" s="574"/>
      <c r="H397" s="574"/>
    </row>
    <row r="398" spans="1:8" ht="15" customHeight="1">
      <c r="A398" s="574"/>
      <c r="B398" s="574"/>
      <c r="C398" s="574"/>
      <c r="D398" s="574"/>
      <c r="E398" s="574"/>
      <c r="F398" s="574"/>
      <c r="G398" s="574"/>
      <c r="H398" s="574"/>
    </row>
    <row r="399" spans="1:8" ht="15" customHeight="1">
      <c r="A399" s="574"/>
      <c r="B399" s="574"/>
      <c r="C399" s="574"/>
      <c r="D399" s="574"/>
      <c r="E399" s="574"/>
      <c r="F399" s="574"/>
      <c r="G399" s="574"/>
      <c r="H399" s="574"/>
    </row>
    <row r="400" spans="1:8" ht="15" customHeight="1">
      <c r="A400" s="574"/>
      <c r="B400" s="574"/>
      <c r="C400" s="574"/>
      <c r="D400" s="574"/>
      <c r="E400" s="574"/>
      <c r="F400" s="574"/>
      <c r="G400" s="574"/>
      <c r="H400" s="574"/>
    </row>
    <row r="401" spans="1:8" ht="15" customHeight="1">
      <c r="A401" s="574"/>
      <c r="B401" s="574"/>
      <c r="C401" s="574"/>
      <c r="D401" s="574"/>
      <c r="E401" s="574"/>
      <c r="F401" s="574"/>
      <c r="G401" s="574"/>
      <c r="H401" s="574"/>
    </row>
    <row r="402" spans="1:8" ht="15" customHeight="1">
      <c r="A402" s="574"/>
      <c r="B402" s="574"/>
      <c r="C402" s="574"/>
      <c r="D402" s="574"/>
      <c r="E402" s="574"/>
      <c r="F402" s="574"/>
      <c r="G402" s="574"/>
      <c r="H402" s="574"/>
    </row>
    <row r="403" spans="1:8" ht="15" customHeight="1">
      <c r="A403" s="574"/>
      <c r="B403" s="574"/>
      <c r="C403" s="574"/>
      <c r="D403" s="574"/>
      <c r="E403" s="574"/>
      <c r="F403" s="574"/>
      <c r="G403" s="574"/>
      <c r="H403" s="574"/>
    </row>
    <row r="404" spans="1:8" ht="15" customHeight="1">
      <c r="A404" s="574"/>
      <c r="B404" s="574"/>
      <c r="C404" s="574"/>
      <c r="D404" s="574"/>
      <c r="E404" s="574"/>
      <c r="F404" s="574"/>
      <c r="G404" s="574"/>
      <c r="H404" s="574"/>
    </row>
    <row r="405" spans="1:8" ht="15" customHeight="1">
      <c r="A405" s="574"/>
      <c r="B405" s="574"/>
      <c r="C405" s="574"/>
      <c r="D405" s="574"/>
      <c r="E405" s="574"/>
      <c r="F405" s="574"/>
      <c r="G405" s="574"/>
      <c r="H405" s="574"/>
    </row>
    <row r="406" spans="1:8" ht="15" customHeight="1">
      <c r="A406" s="574"/>
      <c r="B406" s="574"/>
      <c r="C406" s="574"/>
      <c r="D406" s="574"/>
      <c r="E406" s="574"/>
      <c r="F406" s="574"/>
      <c r="G406" s="574"/>
      <c r="H406" s="574"/>
    </row>
    <row r="407" spans="1:8" ht="15" customHeight="1">
      <c r="A407" s="574"/>
      <c r="B407" s="574"/>
      <c r="C407" s="574"/>
      <c r="D407" s="574"/>
      <c r="E407" s="574"/>
      <c r="F407" s="574"/>
      <c r="G407" s="574"/>
      <c r="H407" s="574"/>
    </row>
    <row r="408" spans="1:8" ht="15" customHeight="1">
      <c r="A408" s="574"/>
      <c r="B408" s="574"/>
      <c r="C408" s="574"/>
      <c r="D408" s="574"/>
      <c r="E408" s="574"/>
      <c r="F408" s="574"/>
      <c r="G408" s="574"/>
      <c r="H408" s="574"/>
    </row>
    <row r="409" spans="1:8" ht="15" customHeight="1">
      <c r="A409" s="574"/>
      <c r="B409" s="574"/>
      <c r="C409" s="574"/>
      <c r="D409" s="574"/>
      <c r="E409" s="574"/>
      <c r="F409" s="574"/>
      <c r="G409" s="574"/>
      <c r="H409" s="574"/>
    </row>
    <row r="410" spans="1:8" ht="15" customHeight="1">
      <c r="A410" s="574"/>
      <c r="B410" s="574"/>
      <c r="C410" s="574"/>
      <c r="D410" s="574"/>
      <c r="E410" s="574"/>
      <c r="F410" s="574"/>
      <c r="G410" s="574"/>
      <c r="H410" s="574"/>
    </row>
    <row r="411" spans="1:8" ht="15" customHeight="1">
      <c r="A411" s="574"/>
      <c r="B411" s="574"/>
      <c r="C411" s="574"/>
      <c r="D411" s="574"/>
      <c r="E411" s="574"/>
      <c r="F411" s="574"/>
      <c r="G411" s="574"/>
      <c r="H411" s="574"/>
    </row>
    <row r="412" spans="1:8" ht="15" customHeight="1">
      <c r="A412" s="574"/>
      <c r="B412" s="574"/>
      <c r="C412" s="574"/>
      <c r="D412" s="574"/>
      <c r="E412" s="574"/>
      <c r="F412" s="574"/>
      <c r="G412" s="574"/>
      <c r="H412" s="574"/>
    </row>
    <row r="413" spans="1:8" ht="15" customHeight="1">
      <c r="A413" s="574"/>
      <c r="B413" s="574"/>
      <c r="C413" s="574"/>
      <c r="D413" s="574"/>
      <c r="E413" s="574"/>
      <c r="F413" s="574"/>
      <c r="G413" s="574"/>
      <c r="H413" s="574"/>
    </row>
    <row r="414" spans="1:8" ht="15" customHeight="1">
      <c r="A414" s="574"/>
      <c r="B414" s="574"/>
      <c r="C414" s="574"/>
      <c r="D414" s="574"/>
      <c r="E414" s="574"/>
      <c r="F414" s="574"/>
      <c r="G414" s="574"/>
      <c r="H414" s="574"/>
    </row>
  </sheetData>
  <mergeCells count="3">
    <mergeCell ref="A1:H1"/>
    <mergeCell ref="A3:H3"/>
    <mergeCell ref="A395:H414"/>
  </mergeCells>
  <conditionalFormatting sqref="C364">
    <cfRule type="duplicateValues" dxfId="2" priority="1"/>
    <cfRule type="duplicateValues" dxfId="1" priority="2"/>
    <cfRule type="duplicateValues" dxfId="0" priority="3"/>
  </conditionalFormatting>
  <pageMargins left="0.32" right="0.19" top="0.52" bottom="0.43" header="0.31496062992125984" footer="0.31496062992125984"/>
  <pageSetup scale="44" fitToHeight="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0368C-501A-47ED-A540-2F52C9366B8A}">
  <sheetPr>
    <tabColor rgb="FFFF0000"/>
    <pageSetUpPr fitToPage="1"/>
  </sheetPr>
  <dimension ref="A1:R40"/>
  <sheetViews>
    <sheetView view="pageBreakPreview" topLeftCell="A2" zoomScale="80" zoomScaleNormal="70" zoomScaleSheetLayoutView="80" workbookViewId="0">
      <selection activeCell="A26" sqref="A26:J26"/>
    </sheetView>
  </sheetViews>
  <sheetFormatPr baseColWidth="10" defaultColWidth="11.453125" defaultRowHeight="12.5"/>
  <cols>
    <col min="1" max="1" width="6.26953125" customWidth="1"/>
    <col min="2" max="2" width="91.453125" customWidth="1"/>
    <col min="3" max="3" width="8.453125" customWidth="1"/>
    <col min="4" max="4" width="11" customWidth="1"/>
    <col min="5" max="10" width="19.26953125" hidden="1" customWidth="1"/>
    <col min="11" max="16" width="19.26953125" customWidth="1"/>
    <col min="17" max="17" width="22" customWidth="1"/>
    <col min="18" max="18" width="17.26953125" customWidth="1"/>
    <col min="19" max="19" width="15" bestFit="1" customWidth="1"/>
  </cols>
  <sheetData>
    <row r="1" spans="1:18" s="45" customFormat="1" ht="30" customHeight="1">
      <c r="A1" s="545" t="str">
        <f>+'PRES. SISFV'!A1</f>
        <v xml:space="preserve">IMPLEMENTACIÓN DE SOLUCIONES ENERGÉTICAS SOSTENIBLES CON FUENTES NO CONVENCIONALES, PARA LAS COMUNIDADES RURALES DEL MUNICIPIO DE PIVIJAY, DEPARTAMENTO MAGDALENA.                                                                                                                                                                                                                          </v>
      </c>
      <c r="B1" s="546"/>
      <c r="C1" s="546"/>
      <c r="D1" s="546"/>
      <c r="E1" s="546"/>
      <c r="F1" s="546"/>
      <c r="G1" s="546"/>
      <c r="H1" s="546"/>
      <c r="I1" s="546"/>
      <c r="J1" s="546"/>
      <c r="K1" s="546"/>
      <c r="L1" s="546"/>
      <c r="M1" s="546"/>
      <c r="N1" s="546"/>
      <c r="O1" s="546"/>
      <c r="P1" s="547"/>
      <c r="R1" s="172"/>
    </row>
    <row r="2" spans="1:18" s="47" customFormat="1" ht="15" customHeight="1">
      <c r="A2" s="548" t="s">
        <v>366</v>
      </c>
      <c r="B2" s="548" t="s">
        <v>367</v>
      </c>
      <c r="C2" s="548" t="s">
        <v>96</v>
      </c>
      <c r="D2" s="548" t="s">
        <v>368</v>
      </c>
      <c r="E2" s="549" t="s">
        <v>369</v>
      </c>
      <c r="F2" s="550"/>
      <c r="G2" s="550"/>
      <c r="H2" s="550"/>
      <c r="I2" s="550"/>
      <c r="J2" s="551"/>
      <c r="K2" s="552" t="s">
        <v>370</v>
      </c>
      <c r="L2" s="553"/>
      <c r="M2" s="553"/>
      <c r="N2" s="553"/>
      <c r="O2" s="553"/>
      <c r="P2" s="554"/>
    </row>
    <row r="3" spans="1:18" s="47" customFormat="1" ht="40.15" customHeight="1">
      <c r="A3" s="548"/>
      <c r="B3" s="548"/>
      <c r="C3" s="548"/>
      <c r="D3" s="548"/>
      <c r="E3" s="48" t="s">
        <v>265</v>
      </c>
      <c r="F3" s="48" t="s">
        <v>371</v>
      </c>
      <c r="G3" s="48" t="s">
        <v>372</v>
      </c>
      <c r="H3" s="48" t="s">
        <v>373</v>
      </c>
      <c r="I3" s="48" t="s">
        <v>374</v>
      </c>
      <c r="J3" s="49" t="s">
        <v>375</v>
      </c>
      <c r="K3" s="48" t="s">
        <v>265</v>
      </c>
      <c r="L3" s="48" t="s">
        <v>371</v>
      </c>
      <c r="M3" s="48" t="s">
        <v>372</v>
      </c>
      <c r="N3" s="48" t="s">
        <v>373</v>
      </c>
      <c r="O3" s="48" t="s">
        <v>374</v>
      </c>
      <c r="P3" s="49" t="s">
        <v>376</v>
      </c>
    </row>
    <row r="4" spans="1:18" s="39" customFormat="1" ht="24.65" customHeight="1">
      <c r="A4" s="50">
        <v>1</v>
      </c>
      <c r="B4" s="328" t="s">
        <v>377</v>
      </c>
      <c r="C4" s="329"/>
      <c r="D4" s="329"/>
      <c r="E4" s="329"/>
      <c r="F4" s="329"/>
      <c r="G4" s="329"/>
      <c r="H4" s="329"/>
      <c r="I4" s="329"/>
      <c r="J4" s="329"/>
      <c r="K4" s="171">
        <f>SUM(K5:K12)*(1+'PRES. SISFV'!$J$25)</f>
        <v>0</v>
      </c>
      <c r="L4" s="171">
        <f>SUM(L5:L12)*(1+'PRES. SISFV'!$J$25)</f>
        <v>0</v>
      </c>
      <c r="M4" s="171">
        <f>SUM(M5:M12)*(1+'PRES. SISFV'!$J$25)</f>
        <v>0</v>
      </c>
      <c r="N4" s="171" t="e">
        <f>SUM(N5:N12)*(1+'PRES. SISFV'!$J$25)</f>
        <v>#DIV/0!</v>
      </c>
      <c r="O4" s="171" t="e">
        <f>SUM(O5:O12)*(1+'PRES. SISFV'!$J$25)</f>
        <v>#DIV/0!</v>
      </c>
      <c r="P4" s="171" t="e">
        <f>ROUND(SUM(K4:O4),0)</f>
        <v>#DIV/0!</v>
      </c>
    </row>
    <row r="5" spans="1:18" s="39" customFormat="1" ht="30" hidden="1" customHeight="1">
      <c r="A5" s="51" t="str">
        <f>+'PRES. SISFV'!A5</f>
        <v>1.1</v>
      </c>
      <c r="B5" s="52" t="str">
        <f>+'PRES. SISFV'!B5</f>
        <v>Realizar Replanteo de obra</v>
      </c>
      <c r="C5" s="51" t="str">
        <f>+'PRES. SISFV'!C5</f>
        <v>UN</v>
      </c>
      <c r="D5" s="53">
        <f>+'PRES. SISFV'!D5</f>
        <v>368</v>
      </c>
      <c r="E5" s="54">
        <f>+'PRES. SISFV'!E5</f>
        <v>0</v>
      </c>
      <c r="F5" s="54">
        <f>+'PRES. SISFV'!F5</f>
        <v>0</v>
      </c>
      <c r="G5" s="54">
        <f>+'PRES. SISFV'!G5</f>
        <v>0</v>
      </c>
      <c r="H5" s="54" t="e">
        <f>+'PRES. SISFV'!H5</f>
        <v>#DIV/0!</v>
      </c>
      <c r="I5" s="54" t="e">
        <f>+'PRES. SISFV'!I5</f>
        <v>#DIV/0!</v>
      </c>
      <c r="J5" s="54" t="e">
        <f>SUM(E5:I5)</f>
        <v>#DIV/0!</v>
      </c>
      <c r="K5" s="54">
        <f t="shared" ref="K5:M6" si="0">+$D5*E5</f>
        <v>0</v>
      </c>
      <c r="L5" s="54">
        <f t="shared" si="0"/>
        <v>0</v>
      </c>
      <c r="M5" s="54">
        <f t="shared" si="0"/>
        <v>0</v>
      </c>
      <c r="N5" s="54" t="e">
        <f t="shared" ref="N5:O12" si="1">+$D5*H5</f>
        <v>#DIV/0!</v>
      </c>
      <c r="O5" s="54" t="e">
        <f t="shared" si="1"/>
        <v>#DIV/0!</v>
      </c>
      <c r="P5" s="54" t="e">
        <f>ROUND(J5*D5,0)</f>
        <v>#DIV/0!</v>
      </c>
    </row>
    <row r="6" spans="1:18" s="39" customFormat="1" ht="62.5" hidden="1">
      <c r="A6" s="51" t="str">
        <f>+'PRES. SISFV'!A6</f>
        <v>1.2</v>
      </c>
      <c r="B6" s="52" t="str">
        <f>+'PRES. SISFV'!B6</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6" s="51" t="str">
        <f>+'PRES. SISFV'!C6</f>
        <v>UN</v>
      </c>
      <c r="D6" s="53">
        <f>+'PRES. SISFV'!D6</f>
        <v>368</v>
      </c>
      <c r="E6" s="54">
        <f>+'PRES. SISFV'!E6</f>
        <v>0</v>
      </c>
      <c r="F6" s="54">
        <f>+'PRES. SISFV'!F6</f>
        <v>0</v>
      </c>
      <c r="G6" s="54">
        <f>+'PRES. SISFV'!G6</f>
        <v>0</v>
      </c>
      <c r="H6" s="54" t="e">
        <f>+'PRES. SISFV'!H6</f>
        <v>#DIV/0!</v>
      </c>
      <c r="I6" s="54" t="e">
        <f>+'PRES. SISFV'!I6</f>
        <v>#DIV/0!</v>
      </c>
      <c r="J6" s="54" t="e">
        <f t="shared" ref="J6:J7" si="2">SUM(E6:I6)</f>
        <v>#DIV/0!</v>
      </c>
      <c r="K6" s="54">
        <f t="shared" si="0"/>
        <v>0</v>
      </c>
      <c r="L6" s="54">
        <f t="shared" si="0"/>
        <v>0</v>
      </c>
      <c r="M6" s="54">
        <f t="shared" si="0"/>
        <v>0</v>
      </c>
      <c r="N6" s="54" t="e">
        <f t="shared" si="1"/>
        <v>#DIV/0!</v>
      </c>
      <c r="O6" s="54" t="e">
        <f t="shared" si="1"/>
        <v>#DIV/0!</v>
      </c>
      <c r="P6" s="54" t="e">
        <f t="shared" ref="P6:P12" si="3">ROUND(J6*D6,0)</f>
        <v>#DIV/0!</v>
      </c>
    </row>
    <row r="7" spans="1:18" s="39" customFormat="1" ht="62.5" hidden="1">
      <c r="A7" s="51" t="str">
        <f>+'PRES. SISFV'!A7</f>
        <v>1.3</v>
      </c>
      <c r="B7" s="52" t="str">
        <f>+'PRES. SISFV'!B7</f>
        <v>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v>
      </c>
      <c r="C7" s="51" t="str">
        <f>+'PRES. SISFV'!C7</f>
        <v>UN</v>
      </c>
      <c r="D7" s="53">
        <f>+'PRES. SISFV'!D7</f>
        <v>368</v>
      </c>
      <c r="E7" s="54">
        <f>+'PRES. SISFV'!E7</f>
        <v>0</v>
      </c>
      <c r="F7" s="54">
        <f>+'PRES. SISFV'!F7</f>
        <v>0</v>
      </c>
      <c r="G7" s="54">
        <f>+'PRES. SISFV'!G7</f>
        <v>0</v>
      </c>
      <c r="H7" s="54" t="e">
        <f>+'PRES. SISFV'!H7</f>
        <v>#DIV/0!</v>
      </c>
      <c r="I7" s="54" t="e">
        <f>+'PRES. SISFV'!I7</f>
        <v>#DIV/0!</v>
      </c>
      <c r="J7" s="54" t="e">
        <f t="shared" si="2"/>
        <v>#DIV/0!</v>
      </c>
      <c r="K7" s="54">
        <f t="shared" ref="K7:K12" si="4">+$D7*E7</f>
        <v>0</v>
      </c>
      <c r="L7" s="54">
        <f t="shared" ref="L7:M12" si="5">+$D7*F7</f>
        <v>0</v>
      </c>
      <c r="M7" s="54">
        <f t="shared" si="5"/>
        <v>0</v>
      </c>
      <c r="N7" s="54" t="e">
        <f t="shared" si="1"/>
        <v>#DIV/0!</v>
      </c>
      <c r="O7" s="54" t="e">
        <f t="shared" si="1"/>
        <v>#DIV/0!</v>
      </c>
      <c r="P7" s="54" t="e">
        <f t="shared" si="3"/>
        <v>#DIV/0!</v>
      </c>
    </row>
    <row r="8" spans="1:18" s="39" customFormat="1" ht="125" hidden="1">
      <c r="A8" s="51" t="str">
        <f>+'PRES. SISFV'!A8</f>
        <v>1.4</v>
      </c>
      <c r="B8" s="52" t="str">
        <f>+'PRES. SISFV'!B8</f>
        <v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8" s="51" t="str">
        <f>+'PRES. SISFV'!C8</f>
        <v>UN</v>
      </c>
      <c r="D8" s="53">
        <f>+'PRES. SISFV'!D8</f>
        <v>368</v>
      </c>
      <c r="E8" s="54">
        <f>+'PRES. SISFV'!E8</f>
        <v>0</v>
      </c>
      <c r="F8" s="54">
        <f>+'PRES. SISFV'!F8</f>
        <v>0</v>
      </c>
      <c r="G8" s="54">
        <f>+'PRES. SISFV'!G8</f>
        <v>0</v>
      </c>
      <c r="H8" s="54" t="e">
        <f>+'PRES. SISFV'!H8</f>
        <v>#DIV/0!</v>
      </c>
      <c r="I8" s="54" t="e">
        <f>+'PRES. SISFV'!I8</f>
        <v>#DIV/0!</v>
      </c>
      <c r="J8" s="54" t="e">
        <f>SUM(E8:I8)</f>
        <v>#DIV/0!</v>
      </c>
      <c r="K8" s="54">
        <f t="shared" si="4"/>
        <v>0</v>
      </c>
      <c r="L8" s="54">
        <f t="shared" si="5"/>
        <v>0</v>
      </c>
      <c r="M8" s="54">
        <f t="shared" si="5"/>
        <v>0</v>
      </c>
      <c r="N8" s="54" t="e">
        <f t="shared" si="1"/>
        <v>#DIV/0!</v>
      </c>
      <c r="O8" s="54" t="e">
        <f t="shared" si="1"/>
        <v>#DIV/0!</v>
      </c>
      <c r="P8" s="54" t="e">
        <f t="shared" si="3"/>
        <v>#DIV/0!</v>
      </c>
    </row>
    <row r="9" spans="1:18" s="39" customFormat="1" ht="72" hidden="1" customHeight="1">
      <c r="A9" s="51" t="str">
        <f>+'PRES. SISFV'!A9</f>
        <v>1.5</v>
      </c>
      <c r="B9" s="52" t="str">
        <f>+'PRES. SISFV'!B9</f>
        <v>Suministro e instalación de regulador (controlador) de carga, 50A/48V MPPT Solar, eficiencia mínima del 96%, debe ser apto para cargar baterías tipo LiFePO4. Con todas las protecciones eléctricas necesarias en caso de sobrecarga, cortocircuito, advertencia de alto voltaje</v>
      </c>
      <c r="C9" s="51" t="str">
        <f>+'PRES. SISFV'!C9</f>
        <v>UN</v>
      </c>
      <c r="D9" s="53">
        <f>+'PRES. SISFV'!D9</f>
        <v>368</v>
      </c>
      <c r="E9" s="54">
        <f>+'PRES. SISFV'!E9</f>
        <v>0</v>
      </c>
      <c r="F9" s="54">
        <f>+'PRES. SISFV'!F9</f>
        <v>0</v>
      </c>
      <c r="G9" s="54">
        <f>+'PRES. SISFV'!G9</f>
        <v>0</v>
      </c>
      <c r="H9" s="54" t="e">
        <f>+'PRES. SISFV'!H9</f>
        <v>#DIV/0!</v>
      </c>
      <c r="I9" s="54" t="e">
        <f>+'PRES. SISFV'!I9</f>
        <v>#DIV/0!</v>
      </c>
      <c r="J9" s="54" t="e">
        <f>SUM(E9:I9)</f>
        <v>#DIV/0!</v>
      </c>
      <c r="K9" s="54">
        <f t="shared" si="4"/>
        <v>0</v>
      </c>
      <c r="L9" s="54">
        <f t="shared" si="5"/>
        <v>0</v>
      </c>
      <c r="M9" s="54">
        <f t="shared" si="5"/>
        <v>0</v>
      </c>
      <c r="N9" s="54" t="e">
        <f t="shared" si="1"/>
        <v>#DIV/0!</v>
      </c>
      <c r="O9" s="54" t="e">
        <f t="shared" si="1"/>
        <v>#DIV/0!</v>
      </c>
      <c r="P9" s="54" t="e">
        <f t="shared" si="3"/>
        <v>#DIV/0!</v>
      </c>
    </row>
    <row r="10" spans="1:18" s="39" customFormat="1" ht="62.5" hidden="1" customHeight="1">
      <c r="A10" s="51" t="str">
        <f>+'PRES. SISFV'!A10</f>
        <v>1.6</v>
      </c>
      <c r="B10" s="52" t="str">
        <f>+'PRES. SISFV'!B10</f>
        <v xml:space="preserve">Suministro e Instalación de batería de ión - litio tipo fosfato de hierro (LiFePO4) de ciclo profundo de 120 Ah – 51.2 VDC - ≥6000 ciclos hasta el 80% DOD, con BMS integrado </v>
      </c>
      <c r="C10" s="51" t="str">
        <f>+'PRES. SISFV'!C10</f>
        <v>UN</v>
      </c>
      <c r="D10" s="53">
        <f>+'PRES. SISFV'!D10</f>
        <v>368</v>
      </c>
      <c r="E10" s="54">
        <f>+'PRES. SISFV'!E10</f>
        <v>0</v>
      </c>
      <c r="F10" s="54">
        <f>+'PRES. SISFV'!F10</f>
        <v>0</v>
      </c>
      <c r="G10" s="54">
        <f>+'PRES. SISFV'!G10</f>
        <v>0</v>
      </c>
      <c r="H10" s="54" t="e">
        <f>+'PRES. SISFV'!H10</f>
        <v>#DIV/0!</v>
      </c>
      <c r="I10" s="54" t="e">
        <f>+'PRES. SISFV'!I10</f>
        <v>#DIV/0!</v>
      </c>
      <c r="J10" s="54" t="e">
        <f>SUM(E10:I10)</f>
        <v>#DIV/0!</v>
      </c>
      <c r="K10" s="54">
        <f t="shared" si="4"/>
        <v>0</v>
      </c>
      <c r="L10" s="54">
        <f t="shared" si="5"/>
        <v>0</v>
      </c>
      <c r="M10" s="54">
        <f t="shared" si="5"/>
        <v>0</v>
      </c>
      <c r="N10" s="54" t="e">
        <f t="shared" si="1"/>
        <v>#DIV/0!</v>
      </c>
      <c r="O10" s="54" t="e">
        <f t="shared" si="1"/>
        <v>#DIV/0!</v>
      </c>
      <c r="P10" s="54" t="e">
        <f t="shared" si="3"/>
        <v>#DIV/0!</v>
      </c>
      <c r="R10" s="55"/>
    </row>
    <row r="11" spans="1:18" s="39" customFormat="1" ht="37.5" hidden="1">
      <c r="A11" s="51" t="str">
        <f>+'PRES. SISFV'!A11</f>
        <v>1.7</v>
      </c>
      <c r="B11" s="52" t="str">
        <f>+'PRES. SISFV'!B11</f>
        <v>Suministro e instalación de inversor tipo "off-grid" onda senoidal pura, potencia de 2000 W, 48 VDC entrada - 120 VAC salida, f=60 Hz, debe garantizar protección y desconexión por bajo voltaje en la batería, protección contra sobrecarga</v>
      </c>
      <c r="C11" s="51" t="str">
        <f>+'PRES. SISFV'!C11</f>
        <v>UN</v>
      </c>
      <c r="D11" s="53">
        <f>+'PRES. SISFV'!D11</f>
        <v>368</v>
      </c>
      <c r="E11" s="54">
        <f>+'PRES. SISFV'!E11</f>
        <v>0</v>
      </c>
      <c r="F11" s="54">
        <f>+'PRES. SISFV'!F11</f>
        <v>0</v>
      </c>
      <c r="G11" s="54">
        <f>+'PRES. SISFV'!G11</f>
        <v>0</v>
      </c>
      <c r="H11" s="54" t="e">
        <f>+'PRES. SISFV'!H11</f>
        <v>#DIV/0!</v>
      </c>
      <c r="I11" s="54" t="e">
        <f>+'PRES. SISFV'!I11</f>
        <v>#DIV/0!</v>
      </c>
      <c r="J11" s="54" t="e">
        <f>SUM(E11:I11)</f>
        <v>#DIV/0!</v>
      </c>
      <c r="K11" s="54">
        <f t="shared" si="4"/>
        <v>0</v>
      </c>
      <c r="L11" s="54">
        <f t="shared" si="5"/>
        <v>0</v>
      </c>
      <c r="M11" s="54">
        <f t="shared" si="5"/>
        <v>0</v>
      </c>
      <c r="N11" s="54" t="e">
        <f t="shared" si="1"/>
        <v>#DIV/0!</v>
      </c>
      <c r="O11" s="54" t="e">
        <f t="shared" si="1"/>
        <v>#DIV/0!</v>
      </c>
      <c r="P11" s="54" t="e">
        <f t="shared" si="3"/>
        <v>#DIV/0!</v>
      </c>
    </row>
    <row r="12" spans="1:18" s="39" customFormat="1" ht="46.15" hidden="1" customHeight="1">
      <c r="A12" s="51" t="str">
        <f>+'PRES. SISFV'!A12</f>
        <v>1.8</v>
      </c>
      <c r="B12" s="52" t="str">
        <f>+'PRES. SISFV'!B12</f>
        <v>Sistema de puesta a tierra con una varilla de cobre 5/8" x 2,4m, bajante en cable de cobre desnudo temple duro o verde Nº 6, con soldadura exotérmica y tratamiento de suelos, caja de inspección de 30 x 30 cm.</v>
      </c>
      <c r="C12" s="51" t="str">
        <f>+'PRES. SISFV'!C12</f>
        <v>UN</v>
      </c>
      <c r="D12" s="53">
        <f>+'PRES. SISFV'!D12</f>
        <v>368</v>
      </c>
      <c r="E12" s="54">
        <f>+'PRES. SISFV'!E12</f>
        <v>0</v>
      </c>
      <c r="F12" s="54">
        <f>+'PRES. SISFV'!F12</f>
        <v>0</v>
      </c>
      <c r="G12" s="54">
        <f>+'PRES. SISFV'!G12</f>
        <v>0</v>
      </c>
      <c r="H12" s="54" t="e">
        <f>+'PRES. SISFV'!H12</f>
        <v>#DIV/0!</v>
      </c>
      <c r="I12" s="54" t="e">
        <f>+'PRES. SISFV'!I12</f>
        <v>#DIV/0!</v>
      </c>
      <c r="J12" s="54" t="e">
        <f t="shared" ref="J12:J14" si="6">SUM(E12:I12)</f>
        <v>#DIV/0!</v>
      </c>
      <c r="K12" s="54">
        <f t="shared" si="4"/>
        <v>0</v>
      </c>
      <c r="L12" s="54">
        <f t="shared" si="5"/>
        <v>0</v>
      </c>
      <c r="M12" s="54">
        <f t="shared" si="5"/>
        <v>0</v>
      </c>
      <c r="N12" s="54" t="e">
        <f t="shared" si="1"/>
        <v>#DIV/0!</v>
      </c>
      <c r="O12" s="54" t="e">
        <f t="shared" si="1"/>
        <v>#DIV/0!</v>
      </c>
      <c r="P12" s="54" t="e">
        <f t="shared" si="3"/>
        <v>#DIV/0!</v>
      </c>
    </row>
    <row r="13" spans="1:18" s="39" customFormat="1" ht="28.9" customHeight="1">
      <c r="A13" s="50">
        <f>+'PRES. SISFV'!A13</f>
        <v>2</v>
      </c>
      <c r="B13" s="328" t="str">
        <f>+'PRES. SISFV'!B13</f>
        <v>Estructura de soporte para paneles solares</v>
      </c>
      <c r="C13" s="329"/>
      <c r="D13" s="329"/>
      <c r="E13" s="329"/>
      <c r="F13" s="329"/>
      <c r="G13" s="329"/>
      <c r="H13" s="329"/>
      <c r="I13" s="329"/>
      <c r="J13" s="329"/>
      <c r="K13" s="171">
        <f>SUM(K14:K15)*(1+'PRES. SISFV'!$J$25)</f>
        <v>0</v>
      </c>
      <c r="L13" s="171">
        <f>SUM(L14:L15)*(1+'PRES. SISFV'!$J$25)</f>
        <v>0</v>
      </c>
      <c r="M13" s="171">
        <f>SUM(M14:M15)*(1+'PRES. SISFV'!$J$25)</f>
        <v>0</v>
      </c>
      <c r="N13" s="171" t="e">
        <f>SUM(N14:N15)*(1+'PRES. SISFV'!$J$25)</f>
        <v>#DIV/0!</v>
      </c>
      <c r="O13" s="171" t="e">
        <f>SUM(O14:O15)*(1+'PRES. SISFV'!$J$25)</f>
        <v>#DIV/0!</v>
      </c>
      <c r="P13" s="171" t="e">
        <f>ROUND(SUM(K13:O13),0)</f>
        <v>#DIV/0!</v>
      </c>
    </row>
    <row r="14" spans="1:18" s="39" customFormat="1" ht="37.5" hidden="1">
      <c r="A14" s="51" t="str">
        <f>+'PRES. SISFV'!A14</f>
        <v>2.1</v>
      </c>
      <c r="B14" s="52" t="str">
        <f>+'PRES. SISFV'!B14</f>
        <v>Suministro e instalación de poste reforzado en fibra de vidrio de h=4m, 510kgf. contiene: tapa en la cima y base, soporte metálico galvanizado fijo para 3 paneles solares y cimentación en concreto según planos (incluye excavación).</v>
      </c>
      <c r="C14" s="51" t="str">
        <f>+'PRES. SISFV'!C14</f>
        <v>UN</v>
      </c>
      <c r="D14" s="53">
        <f>+'PRES. SISFV'!D14</f>
        <v>368</v>
      </c>
      <c r="E14" s="54">
        <f>+'PRES. SISFV'!E14</f>
        <v>0</v>
      </c>
      <c r="F14" s="54">
        <f>+'PRES. SISFV'!F14</f>
        <v>0</v>
      </c>
      <c r="G14" s="54">
        <f>+'PRES. SISFV'!G14</f>
        <v>0</v>
      </c>
      <c r="H14" s="54" t="e">
        <f>+'PRES. SISFV'!H14</f>
        <v>#DIV/0!</v>
      </c>
      <c r="I14" s="54" t="e">
        <f>+'PRES. SISFV'!I14</f>
        <v>#DIV/0!</v>
      </c>
      <c r="J14" s="54" t="e">
        <f t="shared" si="6"/>
        <v>#DIV/0!</v>
      </c>
      <c r="K14" s="54">
        <f t="shared" ref="K14:M14" si="7">+$D14*E14</f>
        <v>0</v>
      </c>
      <c r="L14" s="54">
        <f t="shared" si="7"/>
        <v>0</v>
      </c>
      <c r="M14" s="54">
        <f t="shared" si="7"/>
        <v>0</v>
      </c>
      <c r="N14" s="54" t="e">
        <f t="shared" ref="N14:O15" si="8">+$D14*H14</f>
        <v>#DIV/0!</v>
      </c>
      <c r="O14" s="54" t="e">
        <f t="shared" si="8"/>
        <v>#DIV/0!</v>
      </c>
      <c r="P14" s="54" t="e">
        <f t="shared" ref="P14" si="9">ROUND(J14*D14,0)</f>
        <v>#DIV/0!</v>
      </c>
    </row>
    <row r="15" spans="1:18" s="39" customFormat="1" ht="30" hidden="1" customHeight="1">
      <c r="A15" s="51" t="str">
        <f>+'PRES. SISFV'!A15</f>
        <v>2.2</v>
      </c>
      <c r="B15" s="166" t="str">
        <f>+'PRES. SISFV'!B15</f>
        <v>Excavación de zanja para acometida principal en zona verde, de 20 cm de ancho x 60 cm de profundidad y hasta 6 m de longitud. Se utilizará para relleno, el mismo material excavado.</v>
      </c>
      <c r="C15" s="51" t="str">
        <f>+'PRES. SISFV'!C15</f>
        <v>UN</v>
      </c>
      <c r="D15" s="53">
        <f>+'PRES. SISFV'!D15</f>
        <v>368</v>
      </c>
      <c r="E15" s="54">
        <f>+'PRES. SISFV'!E15</f>
        <v>0</v>
      </c>
      <c r="F15" s="54">
        <f>+'PRES. SISFV'!F15</f>
        <v>0</v>
      </c>
      <c r="G15" s="54">
        <f>+'PRES. SISFV'!G15</f>
        <v>0</v>
      </c>
      <c r="H15" s="54">
        <f>+'PRES. SISFV'!H15</f>
        <v>0</v>
      </c>
      <c r="I15" s="54" t="e">
        <f>+'PRES. SISFV'!I15</f>
        <v>#DIV/0!</v>
      </c>
      <c r="J15" s="54" t="e">
        <f t="shared" ref="J15" si="10">SUM(E15:I15)</f>
        <v>#DIV/0!</v>
      </c>
      <c r="K15" s="54">
        <f t="shared" ref="K15" si="11">+$D15*E15</f>
        <v>0</v>
      </c>
      <c r="L15" s="54">
        <f t="shared" ref="L15" si="12">+$D15*F15</f>
        <v>0</v>
      </c>
      <c r="M15" s="54">
        <f t="shared" ref="M15" si="13">+$D15*G15</f>
        <v>0</v>
      </c>
      <c r="N15" s="54">
        <f t="shared" si="8"/>
        <v>0</v>
      </c>
      <c r="O15" s="54" t="e">
        <f t="shared" si="8"/>
        <v>#DIV/0!</v>
      </c>
      <c r="P15" s="54" t="e">
        <f t="shared" ref="P15" si="14">ROUND(J15*D15,0)</f>
        <v>#DIV/0!</v>
      </c>
    </row>
    <row r="16" spans="1:18" s="39" customFormat="1" ht="24.65" customHeight="1">
      <c r="A16" s="50">
        <f>+'PRES. SISFV'!A16</f>
        <v>3</v>
      </c>
      <c r="B16" s="328" t="str">
        <f>+'PRES. SISFV'!B16</f>
        <v>Implementar Sistema de medición y gestión de energía</v>
      </c>
      <c r="C16" s="329"/>
      <c r="D16" s="329"/>
      <c r="E16" s="329"/>
      <c r="F16" s="329"/>
      <c r="G16" s="329"/>
      <c r="H16" s="329"/>
      <c r="I16" s="329"/>
      <c r="J16" s="329"/>
      <c r="K16" s="171">
        <f>SUM(K17)*(1+'PRES. SISFV'!$J$25)</f>
        <v>0</v>
      </c>
      <c r="L16" s="171">
        <f>SUM(L17)*(1+'PRES. SISFV'!$J$25)</f>
        <v>0</v>
      </c>
      <c r="M16" s="171">
        <f>SUM(M17)*(1+'PRES. SISFV'!$J$25)</f>
        <v>0</v>
      </c>
      <c r="N16" s="171" t="e">
        <f>SUM(N17)*(1+'PRES. SISFV'!$J$25)</f>
        <v>#DIV/0!</v>
      </c>
      <c r="O16" s="171" t="e">
        <f>SUM(O17)*(1+'PRES. SISFV'!$J$25)</f>
        <v>#DIV/0!</v>
      </c>
      <c r="P16" s="171" t="e">
        <f>ROUND(SUM(K16:O16),0)</f>
        <v>#DIV/0!</v>
      </c>
    </row>
    <row r="17" spans="1:16" s="39" customFormat="1" ht="25" hidden="1">
      <c r="A17" s="51" t="str">
        <f>+'PRES. SISFV'!A17</f>
        <v>3.1</v>
      </c>
      <c r="B17" s="52" t="str">
        <f>+'PRES. SISFV'!B17</f>
        <v>Suministro e instalación de Medidor prepago monofásico bifilar 5 (80) A, 120 V, calibrado. Incluye sistema de  gestión de recaudo y equipos de comunicación standalone.</v>
      </c>
      <c r="C17" s="51" t="str">
        <f>+'PRES. SISFV'!C17</f>
        <v>UN</v>
      </c>
      <c r="D17" s="53">
        <f>+'PRES. SISFV'!D17</f>
        <v>368</v>
      </c>
      <c r="E17" s="54">
        <f>+'PRES. SISFV'!E17</f>
        <v>0</v>
      </c>
      <c r="F17" s="54">
        <f>+'PRES. SISFV'!F17</f>
        <v>0</v>
      </c>
      <c r="G17" s="54">
        <f>+'PRES. SISFV'!G17</f>
        <v>0</v>
      </c>
      <c r="H17" s="54" t="e">
        <f>+'PRES. SISFV'!H17</f>
        <v>#DIV/0!</v>
      </c>
      <c r="I17" s="54" t="e">
        <f>+'PRES. SISFV'!I17</f>
        <v>#DIV/0!</v>
      </c>
      <c r="J17" s="54" t="e">
        <f t="shared" ref="J17" si="15">SUM(E17:I17)</f>
        <v>#DIV/0!</v>
      </c>
      <c r="K17" s="54">
        <f t="shared" ref="K17" si="16">+$D17*E17</f>
        <v>0</v>
      </c>
      <c r="L17" s="54">
        <f t="shared" ref="L17" si="17">+$D17*F17</f>
        <v>0</v>
      </c>
      <c r="M17" s="54">
        <f t="shared" ref="M17" si="18">+$D17*G17</f>
        <v>0</v>
      </c>
      <c r="N17" s="54" t="e">
        <f t="shared" ref="N17" si="19">+$D17*H17</f>
        <v>#DIV/0!</v>
      </c>
      <c r="O17" s="54" t="e">
        <f t="shared" ref="O17" si="20">+$D17*I17</f>
        <v>#DIV/0!</v>
      </c>
      <c r="P17" s="54" t="e">
        <f t="shared" ref="P17" si="21">ROUND(J17*D17,0)</f>
        <v>#DIV/0!</v>
      </c>
    </row>
    <row r="18" spans="1:16" s="39" customFormat="1" ht="25.15" customHeight="1">
      <c r="A18" s="50">
        <f>+'PRES. SISFV'!A18</f>
        <v>4</v>
      </c>
      <c r="B18" s="328" t="str">
        <f>+'PRES. SISFV'!B18</f>
        <v>Implementar Instalaciones Internas</v>
      </c>
      <c r="C18" s="329"/>
      <c r="D18" s="329"/>
      <c r="E18" s="329"/>
      <c r="F18" s="329"/>
      <c r="G18" s="329"/>
      <c r="H18" s="329"/>
      <c r="I18" s="329"/>
      <c r="J18" s="329"/>
      <c r="K18" s="171">
        <f>SUM(K19)*(1+'PRES. SISFV'!$J$25)</f>
        <v>0</v>
      </c>
      <c r="L18" s="171">
        <f>SUM(L19)*(1+'PRES. SISFV'!$J$25)</f>
        <v>0</v>
      </c>
      <c r="M18" s="171">
        <f>SUM(M19)*(1+'PRES. SISFV'!$J$25)</f>
        <v>0</v>
      </c>
      <c r="N18" s="171" t="e">
        <f>SUM(N19)*(1+'PRES. SISFV'!$J$25)</f>
        <v>#DIV/0!</v>
      </c>
      <c r="O18" s="171" t="e">
        <f>SUM(O19)*(1+'PRES. SISFV'!$J$25)</f>
        <v>#DIV/0!</v>
      </c>
      <c r="P18" s="171" t="e">
        <f>ROUND(SUM(K18:O18),0)</f>
        <v>#DIV/0!</v>
      </c>
    </row>
    <row r="19" spans="1:16" s="39" customFormat="1" ht="25" hidden="1">
      <c r="A19" s="51" t="str">
        <f>+'PRES. SISFV'!A19</f>
        <v>4.1</v>
      </c>
      <c r="B19" s="52" t="str">
        <f>+'PRES. SISFV'!B19</f>
        <v>Instalaciones Internas que incluyan 4 salidas de alumbrado y 4 tomacorrientes. Se considera implementación de hasta 20 metros de tubería EMT de 3/4" y hasta 80 mts de cable de cobre aislado THHN No. 12 AWG</v>
      </c>
      <c r="C19" s="51" t="str">
        <f>+'PRES. SISFV'!C19</f>
        <v>UN</v>
      </c>
      <c r="D19" s="53">
        <f>+'PRES. SISFV'!D19</f>
        <v>368</v>
      </c>
      <c r="E19" s="54">
        <f>+'PRES. SISFV'!E19</f>
        <v>0</v>
      </c>
      <c r="F19" s="54">
        <f>+'PRES. SISFV'!F19</f>
        <v>0</v>
      </c>
      <c r="G19" s="54">
        <f>+'PRES. SISFV'!G19</f>
        <v>0</v>
      </c>
      <c r="H19" s="54" t="e">
        <f>+'PRES. SISFV'!H19</f>
        <v>#DIV/0!</v>
      </c>
      <c r="I19" s="54" t="e">
        <f>+'PRES. SISFV'!I19</f>
        <v>#DIV/0!</v>
      </c>
      <c r="J19" s="54" t="e">
        <f t="shared" ref="J19" si="22">SUM(E19:I19)</f>
        <v>#DIV/0!</v>
      </c>
      <c r="K19" s="54">
        <f t="shared" ref="K19" si="23">+$D19*E19</f>
        <v>0</v>
      </c>
      <c r="L19" s="54">
        <f t="shared" ref="L19" si="24">+$D19*F19</f>
        <v>0</v>
      </c>
      <c r="M19" s="54">
        <f t="shared" ref="M19" si="25">+$D19*G19</f>
        <v>0</v>
      </c>
      <c r="N19" s="54" t="e">
        <f t="shared" ref="N19" si="26">+$D19*H19</f>
        <v>#DIV/0!</v>
      </c>
      <c r="O19" s="54" t="e">
        <f t="shared" ref="O19" si="27">+$D19*I19</f>
        <v>#DIV/0!</v>
      </c>
      <c r="P19" s="54" t="e">
        <f t="shared" ref="P19" si="28">ROUND(J19*D19,0)</f>
        <v>#DIV/0!</v>
      </c>
    </row>
    <row r="20" spans="1:16" s="39" customFormat="1" ht="18" customHeight="1">
      <c r="A20" s="542" t="s">
        <v>378</v>
      </c>
      <c r="B20" s="543"/>
      <c r="C20" s="543"/>
      <c r="D20" s="543"/>
      <c r="E20" s="543"/>
      <c r="F20" s="543"/>
      <c r="G20" s="543"/>
      <c r="H20" s="543"/>
      <c r="I20" s="543"/>
      <c r="J20" s="544"/>
      <c r="K20" s="56">
        <f t="shared" ref="K20:P20" si="29">ROUND(K4+K13+K16+K18,0)</f>
        <v>0</v>
      </c>
      <c r="L20" s="56">
        <f t="shared" si="29"/>
        <v>0</v>
      </c>
      <c r="M20" s="56">
        <f t="shared" si="29"/>
        <v>0</v>
      </c>
      <c r="N20" s="56" t="e">
        <f t="shared" si="29"/>
        <v>#DIV/0!</v>
      </c>
      <c r="O20" s="56" t="e">
        <f t="shared" si="29"/>
        <v>#DIV/0!</v>
      </c>
      <c r="P20" s="56" t="e">
        <f t="shared" si="29"/>
        <v>#DIV/0!</v>
      </c>
    </row>
    <row r="21" spans="1:16" s="39" customFormat="1" ht="18" hidden="1" customHeight="1">
      <c r="A21" s="536" t="s">
        <v>379</v>
      </c>
      <c r="B21" s="537"/>
      <c r="C21" s="537"/>
      <c r="D21" s="537"/>
      <c r="E21" s="537"/>
      <c r="F21" s="537"/>
      <c r="G21" s="537"/>
      <c r="H21" s="537"/>
      <c r="I21" s="538"/>
      <c r="J21" s="57">
        <f>+'PRES. SISFV'!J21</f>
        <v>0</v>
      </c>
      <c r="K21" s="58"/>
      <c r="L21" s="58"/>
      <c r="M21" s="58"/>
      <c r="N21" s="58"/>
      <c r="O21" s="58"/>
      <c r="P21" s="58"/>
    </row>
    <row r="22" spans="1:16" s="39" customFormat="1" ht="18" hidden="1" customHeight="1">
      <c r="A22" s="536" t="s">
        <v>380</v>
      </c>
      <c r="B22" s="537"/>
      <c r="C22" s="537"/>
      <c r="D22" s="537"/>
      <c r="E22" s="537"/>
      <c r="F22" s="537"/>
      <c r="G22" s="537"/>
      <c r="H22" s="537"/>
      <c r="I22" s="538"/>
      <c r="J22" s="57">
        <f>+'PRES. SISFV'!J22</f>
        <v>0</v>
      </c>
      <c r="K22" s="58"/>
      <c r="L22" s="58"/>
      <c r="M22" s="58"/>
      <c r="N22" s="58"/>
      <c r="O22" s="58"/>
      <c r="P22" s="58"/>
    </row>
    <row r="23" spans="1:16" s="39" customFormat="1" ht="18" hidden="1" customHeight="1">
      <c r="A23" s="536" t="s">
        <v>381</v>
      </c>
      <c r="B23" s="537"/>
      <c r="C23" s="537"/>
      <c r="D23" s="537"/>
      <c r="E23" s="537"/>
      <c r="F23" s="537"/>
      <c r="G23" s="537"/>
      <c r="H23" s="537"/>
      <c r="I23" s="538"/>
      <c r="J23" s="57">
        <f>+'PRES. SISFV'!J23</f>
        <v>0</v>
      </c>
      <c r="K23" s="58"/>
      <c r="L23" s="58"/>
      <c r="M23" s="58"/>
      <c r="N23" s="58"/>
      <c r="O23" s="58"/>
      <c r="P23" s="58"/>
    </row>
    <row r="24" spans="1:16" s="39" customFormat="1" ht="18" hidden="1" customHeight="1">
      <c r="A24" s="536" t="s">
        <v>382</v>
      </c>
      <c r="B24" s="537"/>
      <c r="C24" s="537"/>
      <c r="D24" s="537"/>
      <c r="E24" s="537"/>
      <c r="F24" s="537"/>
      <c r="G24" s="537"/>
      <c r="H24" s="537"/>
      <c r="I24" s="538"/>
      <c r="J24" s="57">
        <f>+'PRES. SISFV'!J24</f>
        <v>0</v>
      </c>
      <c r="K24" s="58"/>
      <c r="L24" s="58"/>
      <c r="M24" s="58"/>
      <c r="N24" s="58"/>
      <c r="O24" s="58"/>
      <c r="P24" s="58"/>
    </row>
    <row r="25" spans="1:16" s="39" customFormat="1" ht="18" hidden="1" customHeight="1">
      <c r="A25" s="536" t="s">
        <v>383</v>
      </c>
      <c r="B25" s="537"/>
      <c r="C25" s="537"/>
      <c r="D25" s="537"/>
      <c r="E25" s="537"/>
      <c r="F25" s="537"/>
      <c r="G25" s="537"/>
      <c r="H25" s="537"/>
      <c r="I25" s="538"/>
      <c r="J25" s="57">
        <f>+'PRES. SISFV'!J25</f>
        <v>0</v>
      </c>
      <c r="K25" s="58"/>
      <c r="L25" s="58"/>
      <c r="M25" s="58"/>
      <c r="N25" s="58"/>
      <c r="O25" s="58"/>
      <c r="P25" s="58"/>
    </row>
    <row r="26" spans="1:16" s="39" customFormat="1" ht="18" customHeight="1">
      <c r="A26" s="555" t="s">
        <v>384</v>
      </c>
      <c r="B26" s="556"/>
      <c r="C26" s="556"/>
      <c r="D26" s="556"/>
      <c r="E26" s="556"/>
      <c r="F26" s="556"/>
      <c r="G26" s="556"/>
      <c r="H26" s="556"/>
      <c r="I26" s="556"/>
      <c r="J26" s="557"/>
      <c r="K26" s="59"/>
      <c r="L26" s="59"/>
      <c r="M26" s="59"/>
      <c r="N26" s="59"/>
      <c r="O26" s="59"/>
      <c r="P26" s="59" t="e">
        <f>P20</f>
        <v>#DIV/0!</v>
      </c>
    </row>
    <row r="27" spans="1:16" s="39" customFormat="1" ht="18" customHeight="1">
      <c r="A27" s="536" t="s">
        <v>385</v>
      </c>
      <c r="B27" s="537"/>
      <c r="C27" s="537"/>
      <c r="D27" s="537"/>
      <c r="E27" s="537"/>
      <c r="F27" s="537"/>
      <c r="G27" s="537"/>
      <c r="H27" s="537"/>
      <c r="I27" s="538"/>
      <c r="J27" s="169" t="e">
        <f>+P27/$P$26</f>
        <v>#REF!</v>
      </c>
      <c r="K27" s="60"/>
      <c r="L27" s="61"/>
      <c r="M27" s="61"/>
      <c r="N27" s="61"/>
      <c r="O27" s="61"/>
      <c r="P27" s="58" t="e">
        <f>+'PRES. SISFV'!#REF!</f>
        <v>#REF!</v>
      </c>
    </row>
    <row r="28" spans="1:16" s="39" customFormat="1" ht="18" customHeight="1">
      <c r="A28" s="536" t="s">
        <v>386</v>
      </c>
      <c r="B28" s="537"/>
      <c r="C28" s="537"/>
      <c r="D28" s="537"/>
      <c r="E28" s="537"/>
      <c r="F28" s="537"/>
      <c r="G28" s="537"/>
      <c r="H28" s="537"/>
      <c r="I28" s="538"/>
      <c r="J28" s="169" t="e">
        <f>+P28/$P$26</f>
        <v>#DIV/0!</v>
      </c>
      <c r="K28" s="58"/>
      <c r="L28" s="58"/>
      <c r="M28" s="58"/>
      <c r="N28" s="58"/>
      <c r="O28" s="58"/>
      <c r="P28" s="58">
        <f>+'PRES. SISFV'!P27</f>
        <v>0</v>
      </c>
    </row>
    <row r="29" spans="1:16" s="39" customFormat="1" ht="18" customHeight="1">
      <c r="A29" s="536" t="s">
        <v>387</v>
      </c>
      <c r="B29" s="537"/>
      <c r="C29" s="537"/>
      <c r="D29" s="537"/>
      <c r="E29" s="537"/>
      <c r="F29" s="537"/>
      <c r="G29" s="537"/>
      <c r="H29" s="537"/>
      <c r="I29" s="538"/>
      <c r="J29" s="169" t="e">
        <f>+P29/$P$26</f>
        <v>#DIV/0!</v>
      </c>
      <c r="K29" s="58"/>
      <c r="L29" s="58"/>
      <c r="M29" s="58"/>
      <c r="N29" s="58"/>
      <c r="O29" s="58"/>
      <c r="P29" s="58" t="e">
        <f>+'PRES. SISFV'!P28</f>
        <v>#DIV/0!</v>
      </c>
    </row>
    <row r="30" spans="1:16" s="39" customFormat="1" ht="18" customHeight="1">
      <c r="A30" s="524" t="s">
        <v>388</v>
      </c>
      <c r="B30" s="525"/>
      <c r="C30" s="525"/>
      <c r="D30" s="525"/>
      <c r="E30" s="525"/>
      <c r="F30" s="525"/>
      <c r="G30" s="525"/>
      <c r="H30" s="525"/>
      <c r="I30" s="526"/>
      <c r="J30" s="62"/>
      <c r="K30" s="62"/>
      <c r="L30" s="62"/>
      <c r="M30" s="62"/>
      <c r="N30" s="62"/>
      <c r="O30" s="62"/>
      <c r="P30" s="62" t="e">
        <f>SUM(P26:P29)</f>
        <v>#DIV/0!</v>
      </c>
    </row>
    <row r="31" spans="1:16" s="39" customFormat="1" ht="18" customHeight="1">
      <c r="A31" s="536" t="s">
        <v>389</v>
      </c>
      <c r="B31" s="537"/>
      <c r="C31" s="537"/>
      <c r="D31" s="537"/>
      <c r="E31" s="537"/>
      <c r="F31" s="537"/>
      <c r="G31" s="537"/>
      <c r="H31" s="537"/>
      <c r="I31" s="538"/>
      <c r="J31" s="169" t="e">
        <f>+P31/$P$30</f>
        <v>#REF!</v>
      </c>
      <c r="K31" s="58"/>
      <c r="L31" s="58"/>
      <c r="M31" s="58"/>
      <c r="N31" s="58"/>
      <c r="O31" s="58"/>
      <c r="P31" s="58" t="e">
        <f>+'PRES. SISFV'!#REF!</f>
        <v>#REF!</v>
      </c>
    </row>
    <row r="32" spans="1:16" s="39" customFormat="1" ht="18" customHeight="1">
      <c r="A32" s="539" t="s">
        <v>390</v>
      </c>
      <c r="B32" s="540"/>
      <c r="C32" s="540"/>
      <c r="D32" s="540"/>
      <c r="E32" s="540"/>
      <c r="F32" s="540"/>
      <c r="G32" s="540"/>
      <c r="H32" s="540"/>
      <c r="I32" s="541"/>
      <c r="J32" s="352"/>
      <c r="K32" s="352"/>
      <c r="L32" s="352"/>
      <c r="M32" s="352"/>
      <c r="N32" s="352"/>
      <c r="O32" s="352"/>
      <c r="P32" s="381" t="e">
        <f>+'PRES. SISFV'!#REF!</f>
        <v>#REF!</v>
      </c>
    </row>
    <row r="33" spans="1:16" s="39" customFormat="1" ht="18" customHeight="1">
      <c r="A33" s="527" t="s">
        <v>391</v>
      </c>
      <c r="B33" s="528"/>
      <c r="C33" s="528"/>
      <c r="D33" s="528"/>
      <c r="E33" s="528"/>
      <c r="F33" s="528"/>
      <c r="G33" s="528"/>
      <c r="H33" s="528"/>
      <c r="I33" s="529"/>
      <c r="J33" s="63"/>
      <c r="K33" s="61"/>
      <c r="L33" s="61"/>
      <c r="M33" s="61"/>
      <c r="N33" s="61"/>
      <c r="O33" s="61"/>
      <c r="P33" s="382">
        <f>+Usuarios!C22</f>
        <v>368</v>
      </c>
    </row>
    <row r="34" spans="1:16" s="26" customFormat="1" ht="18" customHeight="1">
      <c r="A34" s="530" t="s">
        <v>392</v>
      </c>
      <c r="B34" s="531"/>
      <c r="C34" s="531"/>
      <c r="D34" s="531"/>
      <c r="E34" s="531"/>
      <c r="F34" s="531"/>
      <c r="G34" s="531"/>
      <c r="H34" s="531"/>
      <c r="I34" s="532"/>
      <c r="J34" s="64"/>
      <c r="K34" s="65"/>
      <c r="L34" s="65"/>
      <c r="M34" s="65"/>
      <c r="N34" s="65"/>
      <c r="O34" s="65"/>
      <c r="P34" s="66" t="e">
        <f>+P32/P33</f>
        <v>#REF!</v>
      </c>
    </row>
    <row r="35" spans="1:16" ht="13">
      <c r="A35" s="533"/>
      <c r="B35" s="534"/>
      <c r="C35" s="534"/>
      <c r="D35" s="534"/>
      <c r="E35" s="534"/>
      <c r="F35" s="534"/>
      <c r="G35" s="534"/>
      <c r="H35" s="534"/>
      <c r="I35" s="534"/>
      <c r="J35" s="534"/>
      <c r="K35" s="534"/>
      <c r="L35" s="534"/>
      <c r="M35" s="534"/>
      <c r="N35" s="534"/>
      <c r="O35" s="534"/>
      <c r="P35" s="535"/>
    </row>
    <row r="36" spans="1:16" ht="23.5" customHeight="1"/>
    <row r="37" spans="1:16" ht="54.65" customHeight="1"/>
    <row r="38" spans="1:16">
      <c r="B38" s="307" t="s">
        <v>23</v>
      </c>
    </row>
    <row r="39" spans="1:16">
      <c r="B39" s="291" t="s">
        <v>24</v>
      </c>
      <c r="P39" s="67"/>
    </row>
    <row r="40" spans="1:16" ht="23.5" customHeight="1"/>
  </sheetData>
  <mergeCells count="23">
    <mergeCell ref="A23:I23"/>
    <mergeCell ref="A24:I24"/>
    <mergeCell ref="A25:I25"/>
    <mergeCell ref="A26:J26"/>
    <mergeCell ref="A27:I27"/>
    <mergeCell ref="A20:J20"/>
    <mergeCell ref="A21:I21"/>
    <mergeCell ref="A22:I22"/>
    <mergeCell ref="A1:P1"/>
    <mergeCell ref="A2:A3"/>
    <mergeCell ref="B2:B3"/>
    <mergeCell ref="C2:C3"/>
    <mergeCell ref="D2:D3"/>
    <mergeCell ref="E2:J2"/>
    <mergeCell ref="K2:P2"/>
    <mergeCell ref="A30:I30"/>
    <mergeCell ref="A33:I33"/>
    <mergeCell ref="A34:I34"/>
    <mergeCell ref="A35:P35"/>
    <mergeCell ref="A28:I28"/>
    <mergeCell ref="A29:I29"/>
    <mergeCell ref="A32:I32"/>
    <mergeCell ref="A31:I31"/>
  </mergeCells>
  <pageMargins left="0.70866141732283472" right="0.70866141732283472" top="0.74803149606299213" bottom="0.74803149606299213" header="0.31496062992125984" footer="0.31496062992125984"/>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BDBC-9A4C-4385-968F-E713656EB5A8}">
  <sheetPr>
    <tabColor theme="9" tint="0.59999389629810485"/>
  </sheetPr>
  <dimension ref="A1:P69"/>
  <sheetViews>
    <sheetView view="pageBreakPreview" topLeftCell="A55" zoomScale="60" zoomScaleNormal="100" workbookViewId="0">
      <selection activeCell="A69" sqref="A69"/>
    </sheetView>
  </sheetViews>
  <sheetFormatPr baseColWidth="10" defaultColWidth="11.453125" defaultRowHeight="12.5"/>
  <cols>
    <col min="1" max="1" width="47.81640625" bestFit="1" customWidth="1"/>
    <col min="2" max="2" width="20" bestFit="1" customWidth="1"/>
    <col min="4" max="4" width="12.81640625" bestFit="1" customWidth="1"/>
    <col min="5" max="16" width="11.453125" style="3"/>
  </cols>
  <sheetData>
    <row r="1" spans="1:7" ht="12.75" customHeight="1">
      <c r="A1" s="454" t="s">
        <v>25</v>
      </c>
      <c r="B1" s="454"/>
      <c r="C1" s="454"/>
      <c r="D1" s="1"/>
      <c r="E1" s="2"/>
      <c r="F1" s="2"/>
      <c r="G1" s="2"/>
    </row>
    <row r="2" spans="1:7">
      <c r="A2" s="454"/>
      <c r="B2" s="454"/>
      <c r="C2" s="454"/>
      <c r="D2" s="1"/>
      <c r="E2" s="2"/>
      <c r="F2" s="2"/>
      <c r="G2" s="2"/>
    </row>
    <row r="4" spans="1:7">
      <c r="A4" s="455" t="s">
        <v>26</v>
      </c>
      <c r="B4" s="455"/>
      <c r="C4" s="455"/>
    </row>
    <row r="5" spans="1:7">
      <c r="A5" s="456" t="s">
        <v>27</v>
      </c>
      <c r="B5" s="456"/>
      <c r="C5" s="456"/>
    </row>
    <row r="6" spans="1:7">
      <c r="A6" s="4" t="s">
        <v>28</v>
      </c>
      <c r="B6" s="5" t="s">
        <v>29</v>
      </c>
      <c r="C6" s="5" t="s">
        <v>30</v>
      </c>
    </row>
    <row r="7" spans="1:7" ht="14.5">
      <c r="A7" s="6" t="s">
        <v>31</v>
      </c>
      <c r="B7" s="6" t="s">
        <v>32</v>
      </c>
      <c r="C7" s="7">
        <v>15</v>
      </c>
    </row>
    <row r="8" spans="1:7" ht="14.5">
      <c r="A8" s="6" t="s">
        <v>33</v>
      </c>
      <c r="B8" s="6" t="s">
        <v>34</v>
      </c>
      <c r="C8" s="7">
        <v>15</v>
      </c>
    </row>
    <row r="11" spans="1:7">
      <c r="A11" s="455" t="s">
        <v>35</v>
      </c>
      <c r="B11" s="455"/>
      <c r="C11" s="455"/>
      <c r="D11" s="455"/>
    </row>
    <row r="12" spans="1:7">
      <c r="A12" s="4" t="s">
        <v>28</v>
      </c>
      <c r="B12" s="5" t="s">
        <v>29</v>
      </c>
      <c r="C12" s="5" t="s">
        <v>30</v>
      </c>
      <c r="D12" s="5" t="s">
        <v>36</v>
      </c>
    </row>
    <row r="13" spans="1:7" ht="14.5">
      <c r="A13" s="6" t="s">
        <v>37</v>
      </c>
      <c r="B13" s="6" t="s">
        <v>38</v>
      </c>
      <c r="C13" s="8">
        <v>1</v>
      </c>
      <c r="D13" s="9">
        <f>1/C13</f>
        <v>1</v>
      </c>
    </row>
    <row r="14" spans="1:7" ht="14.5">
      <c r="A14" s="6" t="s">
        <v>39</v>
      </c>
      <c r="B14" s="6" t="s">
        <v>38</v>
      </c>
      <c r="C14" s="8">
        <v>5</v>
      </c>
      <c r="D14" s="9">
        <f>1/C14</f>
        <v>0.2</v>
      </c>
    </row>
    <row r="15" spans="1:7" ht="14.5">
      <c r="A15" s="6" t="s">
        <v>40</v>
      </c>
      <c r="B15" s="6" t="s">
        <v>38</v>
      </c>
      <c r="C15" s="8">
        <f>+C30</f>
        <v>9</v>
      </c>
      <c r="D15" s="10">
        <f t="shared" ref="D15:D23" si="0">1/C15</f>
        <v>0.1111111111111111</v>
      </c>
    </row>
    <row r="16" spans="1:7" ht="14.5">
      <c r="A16" s="6" t="s">
        <v>41</v>
      </c>
      <c r="B16" s="6" t="s">
        <v>38</v>
      </c>
      <c r="C16" s="8">
        <v>3</v>
      </c>
      <c r="D16" s="10">
        <f t="shared" si="0"/>
        <v>0.33333333333333331</v>
      </c>
    </row>
    <row r="17" spans="1:16" ht="14.5">
      <c r="A17" s="6" t="s">
        <v>42</v>
      </c>
      <c r="B17" s="6" t="s">
        <v>38</v>
      </c>
      <c r="C17" s="11">
        <v>2</v>
      </c>
      <c r="D17" s="10">
        <f t="shared" si="0"/>
        <v>0.5</v>
      </c>
    </row>
    <row r="18" spans="1:16" ht="14.5">
      <c r="A18" s="6" t="s">
        <v>43</v>
      </c>
      <c r="B18" s="6" t="s">
        <v>38</v>
      </c>
      <c r="C18" s="8">
        <v>3</v>
      </c>
      <c r="D18" s="10">
        <f t="shared" si="0"/>
        <v>0.33333333333333331</v>
      </c>
    </row>
    <row r="19" spans="1:16" ht="14.5">
      <c r="A19" s="6" t="s">
        <v>44</v>
      </c>
      <c r="B19" s="6" t="s">
        <v>38</v>
      </c>
      <c r="C19" s="8">
        <v>3</v>
      </c>
      <c r="D19" s="10">
        <f t="shared" si="0"/>
        <v>0.33333333333333331</v>
      </c>
    </row>
    <row r="20" spans="1:16" ht="14.5">
      <c r="A20" s="6" t="s">
        <v>45</v>
      </c>
      <c r="B20" s="6" t="s">
        <v>38</v>
      </c>
      <c r="C20" s="8">
        <v>4</v>
      </c>
      <c r="D20" s="10">
        <f t="shared" si="0"/>
        <v>0.25</v>
      </c>
    </row>
    <row r="21" spans="1:16" ht="14.5">
      <c r="A21" s="6" t="s">
        <v>46</v>
      </c>
      <c r="B21" s="6" t="s">
        <v>38</v>
      </c>
      <c r="C21" s="8">
        <f>+C46</f>
        <v>8</v>
      </c>
      <c r="D21" s="10">
        <f t="shared" si="0"/>
        <v>0.125</v>
      </c>
    </row>
    <row r="22" spans="1:16" ht="14.5">
      <c r="A22" s="6" t="s">
        <v>47</v>
      </c>
      <c r="B22" s="6" t="s">
        <v>38</v>
      </c>
      <c r="C22" s="8">
        <f>+C45</f>
        <v>2</v>
      </c>
      <c r="D22" s="10">
        <f t="shared" si="0"/>
        <v>0.5</v>
      </c>
    </row>
    <row r="23" spans="1:16" ht="14.5">
      <c r="A23" s="6" t="s">
        <v>48</v>
      </c>
      <c r="B23" s="6" t="s">
        <v>38</v>
      </c>
      <c r="C23" s="8">
        <v>2</v>
      </c>
      <c r="D23" s="10">
        <f t="shared" si="0"/>
        <v>0.5</v>
      </c>
    </row>
    <row r="24" spans="1:16">
      <c r="A24" s="456" t="s">
        <v>49</v>
      </c>
      <c r="B24" s="456"/>
      <c r="C24" s="456"/>
      <c r="D24" s="12">
        <f>ROUND(SUM(D15:D23),2)</f>
        <v>2.99</v>
      </c>
    </row>
    <row r="27" spans="1:16">
      <c r="A27" s="457" t="s">
        <v>50</v>
      </c>
      <c r="B27" s="458"/>
      <c r="C27" s="458"/>
      <c r="D27" s="458"/>
      <c r="E27" s="458"/>
      <c r="F27" s="458"/>
      <c r="G27" s="458"/>
      <c r="H27" s="458"/>
      <c r="I27" s="458"/>
      <c r="J27" s="458"/>
      <c r="K27" s="458"/>
      <c r="L27" s="458"/>
      <c r="M27" s="458"/>
      <c r="N27" s="458"/>
      <c r="O27" s="458"/>
      <c r="P27" s="458"/>
    </row>
    <row r="28" spans="1:16">
      <c r="A28" s="13"/>
      <c r="B28" s="13"/>
      <c r="C28" s="13"/>
      <c r="D28" s="13"/>
      <c r="E28" s="453" t="s">
        <v>51</v>
      </c>
      <c r="F28" s="453"/>
      <c r="G28" s="453" t="s">
        <v>52</v>
      </c>
      <c r="H28" s="453"/>
      <c r="I28" s="453" t="s">
        <v>53</v>
      </c>
      <c r="J28" s="453"/>
      <c r="K28" s="453" t="s">
        <v>54</v>
      </c>
      <c r="L28" s="453"/>
      <c r="M28" s="453" t="s">
        <v>55</v>
      </c>
      <c r="N28" s="453"/>
      <c r="O28" s="453" t="s">
        <v>56</v>
      </c>
      <c r="P28" s="453"/>
    </row>
    <row r="29" spans="1:16">
      <c r="A29" s="14" t="s">
        <v>28</v>
      </c>
      <c r="B29" s="15" t="s">
        <v>29</v>
      </c>
      <c r="C29" s="15" t="s">
        <v>30</v>
      </c>
      <c r="D29" s="15" t="s">
        <v>36</v>
      </c>
      <c r="E29" s="14" t="s">
        <v>57</v>
      </c>
      <c r="F29" s="14" t="s">
        <v>58</v>
      </c>
      <c r="G29" s="14" t="s">
        <v>57</v>
      </c>
      <c r="H29" s="14" t="s">
        <v>58</v>
      </c>
      <c r="I29" s="14" t="s">
        <v>57</v>
      </c>
      <c r="J29" s="14" t="s">
        <v>58</v>
      </c>
      <c r="K29" s="14" t="s">
        <v>57</v>
      </c>
      <c r="L29" s="14" t="s">
        <v>58</v>
      </c>
      <c r="M29" s="14" t="s">
        <v>57</v>
      </c>
      <c r="N29" s="14" t="s">
        <v>58</v>
      </c>
      <c r="O29" s="14" t="s">
        <v>57</v>
      </c>
      <c r="P29" s="14" t="s">
        <v>58</v>
      </c>
    </row>
    <row r="30" spans="1:16" ht="14.5">
      <c r="A30" s="6" t="s">
        <v>59</v>
      </c>
      <c r="B30" s="6" t="s">
        <v>38</v>
      </c>
      <c r="C30" s="16">
        <v>9</v>
      </c>
      <c r="D30" s="17">
        <f>1/C30</f>
        <v>0.1111111111111111</v>
      </c>
      <c r="E30" s="18"/>
      <c r="F30" s="18">
        <f>+D30*E30</f>
        <v>0</v>
      </c>
      <c r="G30" s="18"/>
      <c r="H30" s="18"/>
      <c r="I30" s="18"/>
      <c r="J30" s="18"/>
      <c r="K30" s="18"/>
      <c r="L30" s="18"/>
      <c r="M30" s="18"/>
      <c r="N30" s="18"/>
      <c r="O30" s="18"/>
      <c r="P30" s="18"/>
    </row>
    <row r="31" spans="1:16" ht="14.5">
      <c r="A31" s="6" t="s">
        <v>60</v>
      </c>
      <c r="B31" s="6" t="s">
        <v>38</v>
      </c>
      <c r="C31" s="16">
        <v>9</v>
      </c>
      <c r="D31" s="17">
        <f t="shared" ref="D31:D58" si="1">1/C31</f>
        <v>0.1111111111111111</v>
      </c>
      <c r="E31" s="18"/>
      <c r="F31" s="18">
        <f t="shared" ref="F31:F58" si="2">+D31*E31</f>
        <v>0</v>
      </c>
      <c r="G31" s="18"/>
      <c r="H31" s="18"/>
      <c r="I31" s="18"/>
      <c r="J31" s="18"/>
      <c r="K31" s="18"/>
      <c r="L31" s="18"/>
      <c r="M31" s="18"/>
      <c r="N31" s="18"/>
      <c r="O31" s="18"/>
      <c r="P31" s="18"/>
    </row>
    <row r="32" spans="1:16" ht="14.5">
      <c r="A32" s="6" t="s">
        <v>61</v>
      </c>
      <c r="B32" s="6" t="s">
        <v>38</v>
      </c>
      <c r="C32" s="16">
        <v>2</v>
      </c>
      <c r="D32" s="17">
        <f t="shared" si="1"/>
        <v>0.5</v>
      </c>
      <c r="E32" s="18"/>
      <c r="F32" s="18">
        <f t="shared" si="2"/>
        <v>0</v>
      </c>
      <c r="G32" s="18"/>
      <c r="H32" s="18"/>
      <c r="I32" s="18"/>
      <c r="J32" s="18"/>
      <c r="K32" s="18"/>
      <c r="L32" s="18"/>
      <c r="M32" s="18"/>
      <c r="N32" s="18"/>
      <c r="O32" s="18"/>
      <c r="P32" s="18"/>
    </row>
    <row r="33" spans="1:16" ht="14.5">
      <c r="A33" s="6" t="s">
        <v>62</v>
      </c>
      <c r="B33" s="6" t="s">
        <v>38</v>
      </c>
      <c r="C33" s="16">
        <v>5</v>
      </c>
      <c r="D33" s="17">
        <f t="shared" si="1"/>
        <v>0.2</v>
      </c>
      <c r="E33" s="18"/>
      <c r="F33" s="18">
        <f t="shared" si="2"/>
        <v>0</v>
      </c>
      <c r="G33" s="18"/>
      <c r="H33" s="18"/>
      <c r="I33" s="18"/>
      <c r="J33" s="18"/>
      <c r="K33" s="18"/>
      <c r="L33" s="18"/>
      <c r="M33" s="18"/>
      <c r="N33" s="18"/>
      <c r="O33" s="18"/>
      <c r="P33" s="18"/>
    </row>
    <row r="34" spans="1:16" ht="14.5">
      <c r="A34" s="6" t="s">
        <v>63</v>
      </c>
      <c r="B34" s="6" t="s">
        <v>38</v>
      </c>
      <c r="C34" s="16">
        <v>1</v>
      </c>
      <c r="D34" s="17">
        <f t="shared" si="1"/>
        <v>1</v>
      </c>
      <c r="E34" s="18"/>
      <c r="F34" s="18">
        <f t="shared" si="2"/>
        <v>0</v>
      </c>
      <c r="G34" s="18"/>
      <c r="H34" s="18"/>
      <c r="I34" s="18"/>
      <c r="J34" s="18"/>
      <c r="K34" s="18"/>
      <c r="L34" s="18"/>
      <c r="M34" s="18"/>
      <c r="N34" s="18"/>
      <c r="O34" s="18"/>
      <c r="P34" s="18"/>
    </row>
    <row r="35" spans="1:16" ht="14.5">
      <c r="A35" s="6" t="s">
        <v>64</v>
      </c>
      <c r="B35" s="6" t="s">
        <v>38</v>
      </c>
      <c r="C35" s="16">
        <v>1</v>
      </c>
      <c r="D35" s="17">
        <f t="shared" si="1"/>
        <v>1</v>
      </c>
      <c r="E35" s="18"/>
      <c r="F35" s="18">
        <f t="shared" si="2"/>
        <v>0</v>
      </c>
      <c r="G35" s="18"/>
      <c r="H35" s="18"/>
      <c r="I35" s="18"/>
      <c r="J35" s="18"/>
      <c r="K35" s="18"/>
      <c r="L35" s="18"/>
      <c r="M35" s="18"/>
      <c r="N35" s="18"/>
      <c r="O35" s="18"/>
      <c r="P35" s="18"/>
    </row>
    <row r="36" spans="1:16" ht="14.5">
      <c r="A36" s="6" t="s">
        <v>65</v>
      </c>
      <c r="B36" s="6" t="s">
        <v>38</v>
      </c>
      <c r="C36" s="16">
        <v>2</v>
      </c>
      <c r="D36" s="17">
        <f t="shared" si="1"/>
        <v>0.5</v>
      </c>
      <c r="E36" s="18"/>
      <c r="F36" s="18">
        <f t="shared" si="2"/>
        <v>0</v>
      </c>
      <c r="G36" s="18"/>
      <c r="H36" s="18"/>
      <c r="I36" s="18"/>
      <c r="J36" s="18"/>
      <c r="K36" s="18"/>
      <c r="L36" s="18"/>
      <c r="M36" s="18"/>
      <c r="N36" s="18"/>
      <c r="O36" s="18"/>
      <c r="P36" s="18"/>
    </row>
    <row r="37" spans="1:16" ht="14.5">
      <c r="A37" s="6" t="s">
        <v>66</v>
      </c>
      <c r="B37" s="6" t="s">
        <v>38</v>
      </c>
      <c r="C37" s="16">
        <v>3</v>
      </c>
      <c r="D37" s="17">
        <f t="shared" si="1"/>
        <v>0.33333333333333331</v>
      </c>
      <c r="E37" s="18"/>
      <c r="F37" s="18">
        <f t="shared" si="2"/>
        <v>0</v>
      </c>
      <c r="G37" s="18"/>
      <c r="H37" s="18"/>
      <c r="I37" s="18"/>
      <c r="J37" s="18"/>
      <c r="K37" s="18"/>
      <c r="L37" s="18"/>
      <c r="M37" s="18"/>
      <c r="N37" s="18"/>
      <c r="O37" s="18"/>
      <c r="P37" s="18"/>
    </row>
    <row r="38" spans="1:16" ht="14.5">
      <c r="A38" s="6" t="s">
        <v>67</v>
      </c>
      <c r="B38" s="6" t="s">
        <v>38</v>
      </c>
      <c r="C38" s="16">
        <v>3</v>
      </c>
      <c r="D38" s="17">
        <f t="shared" si="1"/>
        <v>0.33333333333333331</v>
      </c>
      <c r="E38" s="18"/>
      <c r="F38" s="18">
        <f t="shared" si="2"/>
        <v>0</v>
      </c>
      <c r="G38" s="18"/>
      <c r="H38" s="18"/>
      <c r="I38" s="18"/>
      <c r="J38" s="18"/>
      <c r="K38" s="18"/>
      <c r="L38" s="18"/>
      <c r="M38" s="18"/>
      <c r="N38" s="18"/>
      <c r="O38" s="18"/>
      <c r="P38" s="18"/>
    </row>
    <row r="39" spans="1:16" ht="14.5">
      <c r="A39" s="19" t="s">
        <v>68</v>
      </c>
      <c r="B39" s="6" t="s">
        <v>38</v>
      </c>
      <c r="C39" s="16">
        <v>6</v>
      </c>
      <c r="D39" s="17">
        <f t="shared" si="1"/>
        <v>0.16666666666666666</v>
      </c>
      <c r="E39" s="18"/>
      <c r="F39" s="18">
        <f t="shared" si="2"/>
        <v>0</v>
      </c>
      <c r="G39" s="18"/>
      <c r="H39" s="18"/>
      <c r="I39" s="18"/>
      <c r="J39" s="18"/>
      <c r="K39" s="18"/>
      <c r="L39" s="18"/>
      <c r="M39" s="18"/>
      <c r="N39" s="18"/>
      <c r="O39" s="18"/>
      <c r="P39" s="18"/>
    </row>
    <row r="40" spans="1:16" ht="14.5">
      <c r="A40" s="6" t="s">
        <v>69</v>
      </c>
      <c r="B40" s="6" t="s">
        <v>70</v>
      </c>
      <c r="C40" s="16">
        <v>3</v>
      </c>
      <c r="D40" s="17">
        <f t="shared" si="1"/>
        <v>0.33333333333333331</v>
      </c>
      <c r="E40" s="18"/>
      <c r="F40" s="18">
        <f t="shared" si="2"/>
        <v>0</v>
      </c>
      <c r="G40" s="18"/>
      <c r="H40" s="18"/>
      <c r="I40" s="18"/>
      <c r="J40" s="18"/>
      <c r="K40" s="18"/>
      <c r="L40" s="18"/>
      <c r="M40" s="18"/>
      <c r="N40" s="18"/>
      <c r="O40" s="18"/>
      <c r="P40" s="18"/>
    </row>
    <row r="41" spans="1:16" ht="14.5">
      <c r="A41" s="6" t="s">
        <v>71</v>
      </c>
      <c r="B41" s="6" t="s">
        <v>38</v>
      </c>
      <c r="C41" s="16">
        <v>6</v>
      </c>
      <c r="D41" s="17">
        <f t="shared" si="1"/>
        <v>0.16666666666666666</v>
      </c>
      <c r="E41" s="18"/>
      <c r="F41" s="18">
        <f t="shared" si="2"/>
        <v>0</v>
      </c>
      <c r="G41" s="18"/>
      <c r="H41" s="18"/>
      <c r="I41" s="18"/>
      <c r="J41" s="18"/>
      <c r="K41" s="18"/>
      <c r="L41" s="18"/>
      <c r="M41" s="18"/>
      <c r="N41" s="18"/>
      <c r="O41" s="18"/>
      <c r="P41" s="18"/>
    </row>
    <row r="42" spans="1:16" ht="14.5">
      <c r="A42" s="6" t="s">
        <v>72</v>
      </c>
      <c r="B42" s="6" t="s">
        <v>38</v>
      </c>
      <c r="C42" s="16">
        <v>8</v>
      </c>
      <c r="D42" s="17">
        <f t="shared" si="1"/>
        <v>0.125</v>
      </c>
      <c r="E42" s="18"/>
      <c r="F42" s="18">
        <f t="shared" si="2"/>
        <v>0</v>
      </c>
      <c r="G42" s="18"/>
      <c r="H42" s="18"/>
      <c r="I42" s="18"/>
      <c r="J42" s="18"/>
      <c r="K42" s="18"/>
      <c r="L42" s="18"/>
      <c r="M42" s="18"/>
      <c r="N42" s="18"/>
      <c r="O42" s="18"/>
      <c r="P42" s="18"/>
    </row>
    <row r="43" spans="1:16" ht="14.5">
      <c r="A43" s="6" t="s">
        <v>73</v>
      </c>
      <c r="B43" s="6" t="s">
        <v>38</v>
      </c>
      <c r="C43" s="16">
        <v>2</v>
      </c>
      <c r="D43" s="17">
        <f t="shared" si="1"/>
        <v>0.5</v>
      </c>
      <c r="E43" s="18"/>
      <c r="F43" s="18">
        <f t="shared" si="2"/>
        <v>0</v>
      </c>
      <c r="G43" s="18"/>
      <c r="H43" s="18"/>
      <c r="I43" s="18"/>
      <c r="J43" s="18"/>
      <c r="K43" s="18"/>
      <c r="L43" s="18"/>
      <c r="M43" s="18"/>
      <c r="N43" s="18"/>
      <c r="O43" s="18"/>
      <c r="P43" s="18"/>
    </row>
    <row r="44" spans="1:16" ht="14.5">
      <c r="A44" s="6" t="s">
        <v>74</v>
      </c>
      <c r="B44" s="6" t="s">
        <v>38</v>
      </c>
      <c r="C44" s="16">
        <v>4</v>
      </c>
      <c r="D44" s="17">
        <f t="shared" si="1"/>
        <v>0.25</v>
      </c>
      <c r="E44" s="18"/>
      <c r="F44" s="18">
        <f t="shared" si="2"/>
        <v>0</v>
      </c>
      <c r="G44" s="18"/>
      <c r="H44" s="18"/>
      <c r="I44" s="18"/>
      <c r="J44" s="18"/>
      <c r="K44" s="18"/>
      <c r="L44" s="18"/>
      <c r="M44" s="18"/>
      <c r="N44" s="18"/>
      <c r="O44" s="18"/>
      <c r="P44" s="18"/>
    </row>
    <row r="45" spans="1:16" ht="14.5">
      <c r="A45" s="6" t="s">
        <v>75</v>
      </c>
      <c r="B45" s="6" t="s">
        <v>38</v>
      </c>
      <c r="C45" s="16">
        <v>2</v>
      </c>
      <c r="D45" s="17">
        <f t="shared" si="1"/>
        <v>0.5</v>
      </c>
      <c r="E45" s="18"/>
      <c r="F45" s="18">
        <f t="shared" si="2"/>
        <v>0</v>
      </c>
      <c r="G45" s="18"/>
      <c r="H45" s="18"/>
      <c r="I45" s="18"/>
      <c r="J45" s="18"/>
      <c r="K45" s="18"/>
      <c r="L45" s="18"/>
      <c r="M45" s="18"/>
      <c r="N45" s="18"/>
      <c r="O45" s="18"/>
      <c r="P45" s="18"/>
    </row>
    <row r="46" spans="1:16" ht="14.5">
      <c r="A46" s="6" t="s">
        <v>76</v>
      </c>
      <c r="B46" s="6" t="s">
        <v>38</v>
      </c>
      <c r="C46" s="16">
        <v>8</v>
      </c>
      <c r="D46" s="17">
        <f t="shared" si="1"/>
        <v>0.125</v>
      </c>
      <c r="E46" s="18"/>
      <c r="F46" s="18">
        <f t="shared" si="2"/>
        <v>0</v>
      </c>
      <c r="G46" s="18"/>
      <c r="H46" s="18"/>
      <c r="I46" s="18"/>
      <c r="J46" s="18"/>
      <c r="K46" s="18"/>
      <c r="L46" s="18"/>
      <c r="M46" s="18"/>
      <c r="N46" s="18"/>
      <c r="O46" s="18"/>
      <c r="P46" s="18"/>
    </row>
    <row r="47" spans="1:16" ht="14.5">
      <c r="A47" s="6" t="s">
        <v>77</v>
      </c>
      <c r="B47" s="6" t="s">
        <v>78</v>
      </c>
      <c r="C47" s="16">
        <v>12</v>
      </c>
      <c r="D47" s="17">
        <f t="shared" si="1"/>
        <v>8.3333333333333329E-2</v>
      </c>
      <c r="E47" s="18"/>
      <c r="F47" s="18">
        <f t="shared" si="2"/>
        <v>0</v>
      </c>
      <c r="G47" s="18"/>
      <c r="H47" s="18"/>
      <c r="I47" s="18"/>
      <c r="J47" s="18"/>
      <c r="K47" s="18"/>
      <c r="L47" s="18"/>
      <c r="M47" s="18"/>
      <c r="N47" s="18"/>
      <c r="O47" s="18"/>
      <c r="P47" s="18"/>
    </row>
    <row r="48" spans="1:16" ht="14.5">
      <c r="A48" s="6" t="s">
        <v>79</v>
      </c>
      <c r="B48" s="6" t="s">
        <v>38</v>
      </c>
      <c r="C48" s="16">
        <v>3</v>
      </c>
      <c r="D48" s="17">
        <f t="shared" si="1"/>
        <v>0.33333333333333331</v>
      </c>
      <c r="E48" s="18"/>
      <c r="F48" s="18">
        <f t="shared" si="2"/>
        <v>0</v>
      </c>
      <c r="G48" s="18"/>
      <c r="H48" s="18"/>
      <c r="I48" s="18"/>
      <c r="J48" s="18"/>
      <c r="K48" s="18"/>
      <c r="L48" s="18"/>
      <c r="M48" s="18"/>
      <c r="N48" s="18"/>
      <c r="O48" s="18"/>
      <c r="P48" s="18"/>
    </row>
    <row r="49" spans="1:16" ht="14.5">
      <c r="A49" s="6" t="s">
        <v>80</v>
      </c>
      <c r="B49" s="6" t="s">
        <v>38</v>
      </c>
      <c r="C49" s="16">
        <v>2</v>
      </c>
      <c r="D49" s="17">
        <f t="shared" si="1"/>
        <v>0.5</v>
      </c>
      <c r="E49" s="18"/>
      <c r="F49" s="18">
        <f t="shared" si="2"/>
        <v>0</v>
      </c>
      <c r="G49" s="18"/>
      <c r="H49" s="18"/>
      <c r="I49" s="18"/>
      <c r="J49" s="18"/>
      <c r="K49" s="18"/>
      <c r="L49" s="18"/>
      <c r="M49" s="18"/>
      <c r="N49" s="18"/>
      <c r="O49" s="18"/>
      <c r="P49" s="18"/>
    </row>
    <row r="50" spans="1:16" ht="14.5">
      <c r="A50" s="6" t="s">
        <v>81</v>
      </c>
      <c r="B50" s="6" t="s">
        <v>38</v>
      </c>
      <c r="C50" s="16">
        <v>3</v>
      </c>
      <c r="D50" s="17">
        <f t="shared" si="1"/>
        <v>0.33333333333333331</v>
      </c>
      <c r="E50" s="18"/>
      <c r="F50" s="18">
        <f t="shared" si="2"/>
        <v>0</v>
      </c>
      <c r="G50" s="18"/>
      <c r="H50" s="18"/>
      <c r="I50" s="18"/>
      <c r="J50" s="18"/>
      <c r="K50" s="18"/>
      <c r="L50" s="18"/>
      <c r="M50" s="18"/>
      <c r="N50" s="18"/>
      <c r="O50" s="18"/>
      <c r="P50" s="18"/>
    </row>
    <row r="51" spans="1:16" ht="14.5">
      <c r="A51" s="6" t="s">
        <v>82</v>
      </c>
      <c r="B51" s="6" t="s">
        <v>83</v>
      </c>
      <c r="C51" s="16">
        <v>5</v>
      </c>
      <c r="D51" s="17">
        <f t="shared" si="1"/>
        <v>0.2</v>
      </c>
      <c r="E51" s="18"/>
      <c r="F51" s="18">
        <f t="shared" si="2"/>
        <v>0</v>
      </c>
      <c r="G51" s="18"/>
      <c r="H51" s="18"/>
      <c r="I51" s="18"/>
      <c r="J51" s="18"/>
      <c r="K51" s="18"/>
      <c r="L51" s="18"/>
      <c r="M51" s="18"/>
      <c r="N51" s="18"/>
      <c r="O51" s="18"/>
      <c r="P51" s="18"/>
    </row>
    <row r="52" spans="1:16" ht="14.5">
      <c r="A52" s="6" t="s">
        <v>84</v>
      </c>
      <c r="B52" s="6" t="s">
        <v>78</v>
      </c>
      <c r="C52" s="16">
        <v>4</v>
      </c>
      <c r="D52" s="17">
        <f t="shared" si="1"/>
        <v>0.25</v>
      </c>
      <c r="E52" s="18"/>
      <c r="F52" s="18">
        <f t="shared" si="2"/>
        <v>0</v>
      </c>
      <c r="G52" s="18"/>
      <c r="H52" s="18"/>
      <c r="I52" s="18"/>
      <c r="J52" s="18"/>
      <c r="K52" s="18"/>
      <c r="L52" s="18"/>
      <c r="M52" s="18"/>
      <c r="N52" s="18"/>
      <c r="O52" s="18"/>
      <c r="P52" s="18"/>
    </row>
    <row r="53" spans="1:16" ht="14.5">
      <c r="A53" s="6" t="s">
        <v>85</v>
      </c>
      <c r="B53" s="6" t="s">
        <v>83</v>
      </c>
      <c r="C53" s="16">
        <v>50</v>
      </c>
      <c r="D53" s="17">
        <f t="shared" si="1"/>
        <v>0.02</v>
      </c>
      <c r="E53" s="18"/>
      <c r="F53" s="18">
        <f t="shared" si="2"/>
        <v>0</v>
      </c>
      <c r="G53" s="18"/>
      <c r="H53" s="18"/>
      <c r="I53" s="18"/>
      <c r="J53" s="18"/>
      <c r="K53" s="18"/>
      <c r="L53" s="18"/>
      <c r="M53" s="18"/>
      <c r="N53" s="18"/>
      <c r="O53" s="18"/>
      <c r="P53" s="18"/>
    </row>
    <row r="54" spans="1:16" ht="14.5">
      <c r="A54" s="6" t="s">
        <v>86</v>
      </c>
      <c r="B54" s="6" t="s">
        <v>83</v>
      </c>
      <c r="C54" s="16">
        <v>8</v>
      </c>
      <c r="D54" s="17">
        <f t="shared" si="1"/>
        <v>0.125</v>
      </c>
      <c r="E54" s="18"/>
      <c r="F54" s="18">
        <f t="shared" si="2"/>
        <v>0</v>
      </c>
      <c r="G54" s="18"/>
      <c r="H54" s="18"/>
      <c r="I54" s="18"/>
      <c r="J54" s="18"/>
      <c r="K54" s="18"/>
      <c r="L54" s="18"/>
      <c r="M54" s="18"/>
      <c r="N54" s="18"/>
      <c r="O54" s="18"/>
      <c r="P54" s="18"/>
    </row>
    <row r="55" spans="1:16" ht="14.5">
      <c r="A55" s="6" t="s">
        <v>87</v>
      </c>
      <c r="B55" s="6" t="s">
        <v>83</v>
      </c>
      <c r="C55" s="16">
        <v>8</v>
      </c>
      <c r="D55" s="17">
        <f t="shared" si="1"/>
        <v>0.125</v>
      </c>
      <c r="E55" s="18"/>
      <c r="F55" s="18">
        <f t="shared" si="2"/>
        <v>0</v>
      </c>
      <c r="G55" s="18"/>
      <c r="H55" s="18"/>
      <c r="I55" s="18"/>
      <c r="J55" s="18"/>
      <c r="K55" s="18"/>
      <c r="L55" s="18"/>
      <c r="M55" s="18"/>
      <c r="N55" s="18"/>
      <c r="O55" s="18"/>
      <c r="P55" s="18"/>
    </row>
    <row r="56" spans="1:16" ht="14.5">
      <c r="A56" s="6" t="s">
        <v>88</v>
      </c>
      <c r="B56" s="6" t="s">
        <v>89</v>
      </c>
      <c r="C56" s="16">
        <v>250</v>
      </c>
      <c r="D56" s="17">
        <f t="shared" si="1"/>
        <v>4.0000000000000001E-3</v>
      </c>
      <c r="E56" s="18"/>
      <c r="F56" s="18">
        <f t="shared" si="2"/>
        <v>0</v>
      </c>
      <c r="G56" s="18"/>
      <c r="H56" s="18"/>
      <c r="I56" s="18"/>
      <c r="J56" s="18"/>
      <c r="K56" s="18"/>
      <c r="L56" s="18"/>
      <c r="M56" s="18"/>
      <c r="N56" s="18"/>
      <c r="O56" s="18"/>
      <c r="P56" s="18"/>
    </row>
    <row r="57" spans="1:16" ht="14.5">
      <c r="A57" s="6" t="s">
        <v>90</v>
      </c>
      <c r="B57" s="6" t="s">
        <v>38</v>
      </c>
      <c r="C57" s="16">
        <v>1</v>
      </c>
      <c r="D57" s="17">
        <f t="shared" si="1"/>
        <v>1</v>
      </c>
      <c r="E57" s="18"/>
      <c r="F57" s="18">
        <f t="shared" si="2"/>
        <v>0</v>
      </c>
      <c r="G57" s="18"/>
      <c r="H57" s="18"/>
      <c r="I57" s="18"/>
      <c r="J57" s="18"/>
      <c r="K57" s="18"/>
      <c r="L57" s="18"/>
      <c r="M57" s="18"/>
      <c r="N57" s="18"/>
      <c r="O57" s="18"/>
      <c r="P57" s="18"/>
    </row>
    <row r="58" spans="1:16" ht="14.5">
      <c r="A58" s="6" t="s">
        <v>91</v>
      </c>
      <c r="B58" s="6" t="s">
        <v>89</v>
      </c>
      <c r="C58" s="16">
        <v>40</v>
      </c>
      <c r="D58" s="17">
        <f t="shared" si="1"/>
        <v>2.5000000000000001E-2</v>
      </c>
      <c r="E58" s="18"/>
      <c r="F58" s="18">
        <f t="shared" si="2"/>
        <v>0</v>
      </c>
      <c r="G58" s="18"/>
      <c r="H58" s="18"/>
      <c r="I58" s="18"/>
      <c r="J58" s="18"/>
      <c r="K58" s="18"/>
      <c r="L58" s="18"/>
      <c r="M58" s="18"/>
      <c r="N58" s="18"/>
      <c r="O58" s="18"/>
      <c r="P58" s="18"/>
    </row>
    <row r="59" spans="1:16" ht="14.5">
      <c r="A59" s="6"/>
      <c r="B59" s="6"/>
      <c r="C59" s="16"/>
      <c r="D59" s="17"/>
      <c r="E59" s="18"/>
      <c r="F59" s="18"/>
      <c r="G59" s="18"/>
      <c r="H59" s="18"/>
      <c r="I59" s="18"/>
      <c r="J59" s="18"/>
      <c r="K59" s="18"/>
      <c r="L59" s="18"/>
      <c r="M59" s="18"/>
      <c r="N59" s="18"/>
      <c r="O59" s="18"/>
      <c r="P59" s="18"/>
    </row>
    <row r="60" spans="1:16" ht="14.5">
      <c r="A60" s="6"/>
      <c r="B60" s="6"/>
      <c r="C60" s="16"/>
      <c r="D60" s="17"/>
      <c r="E60" s="18"/>
      <c r="F60" s="18"/>
      <c r="G60" s="18"/>
      <c r="H60" s="18"/>
      <c r="I60" s="18"/>
      <c r="J60" s="18"/>
      <c r="K60" s="18"/>
      <c r="L60" s="18"/>
      <c r="M60" s="18"/>
      <c r="N60" s="18"/>
      <c r="O60" s="18"/>
      <c r="P60" s="18"/>
    </row>
    <row r="61" spans="1:16" ht="14.5">
      <c r="A61" s="6"/>
      <c r="B61" s="6"/>
      <c r="C61" s="16"/>
      <c r="D61" s="17"/>
      <c r="E61" s="18"/>
      <c r="F61" s="18"/>
      <c r="G61" s="18"/>
      <c r="H61" s="18"/>
      <c r="I61" s="18"/>
      <c r="J61" s="18"/>
      <c r="K61" s="18"/>
      <c r="L61" s="18"/>
      <c r="M61" s="18"/>
      <c r="N61" s="18"/>
      <c r="O61" s="18"/>
      <c r="P61" s="18"/>
    </row>
    <row r="62" spans="1:16" ht="12" customHeight="1">
      <c r="A62" s="6" t="s">
        <v>92</v>
      </c>
      <c r="B62" s="9"/>
      <c r="C62" s="9"/>
      <c r="D62" s="9"/>
      <c r="E62" s="18"/>
      <c r="F62" s="18"/>
      <c r="G62" s="18"/>
      <c r="H62" s="18"/>
      <c r="I62" s="18"/>
      <c r="J62" s="18"/>
      <c r="K62" s="18"/>
      <c r="L62" s="18"/>
      <c r="M62" s="18"/>
      <c r="N62" s="18"/>
      <c r="O62" s="18"/>
      <c r="P62" s="18"/>
    </row>
    <row r="63" spans="1:16">
      <c r="A63" s="6" t="s">
        <v>93</v>
      </c>
      <c r="B63" s="9"/>
      <c r="C63" s="9"/>
      <c r="D63" s="9"/>
      <c r="E63" s="18"/>
      <c r="F63" s="18"/>
      <c r="G63" s="18"/>
      <c r="H63" s="18"/>
      <c r="I63" s="18"/>
      <c r="J63" s="18"/>
      <c r="K63" s="18"/>
      <c r="L63" s="18"/>
      <c r="M63" s="18"/>
      <c r="N63" s="18"/>
      <c r="O63" s="18"/>
      <c r="P63" s="18"/>
    </row>
    <row r="68" spans="1:1" ht="13">
      <c r="A68" s="288"/>
    </row>
    <row r="69" spans="1:1" ht="13">
      <c r="A69" s="289"/>
    </row>
  </sheetData>
  <mergeCells count="12">
    <mergeCell ref="O28:P28"/>
    <mergeCell ref="A1:C2"/>
    <mergeCell ref="A4:C4"/>
    <mergeCell ref="A5:C5"/>
    <mergeCell ref="A11:D11"/>
    <mergeCell ref="A24:C24"/>
    <mergeCell ref="A27:P27"/>
    <mergeCell ref="E28:F28"/>
    <mergeCell ref="G28:H28"/>
    <mergeCell ref="I28:J28"/>
    <mergeCell ref="K28:L28"/>
    <mergeCell ref="M28:N28"/>
  </mergeCells>
  <pageMargins left="0.70866141732283472" right="0.70866141732283472" top="0.74803149606299213" bottom="0.74803149606299213" header="0.31496062992125984" footer="0.31496062992125984"/>
  <pageSetup scale="53" fitToHeight="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B004-7C1D-4943-81AC-08D56F978F4F}">
  <sheetPr>
    <tabColor theme="4" tint="0.59999389629810485"/>
  </sheetPr>
  <dimension ref="A2:F14"/>
  <sheetViews>
    <sheetView view="pageBreakPreview" zoomScale="60" zoomScaleNormal="120" workbookViewId="0">
      <selection activeCell="D4" sqref="D4:D8"/>
    </sheetView>
  </sheetViews>
  <sheetFormatPr baseColWidth="10" defaultColWidth="11.453125" defaultRowHeight="12.5"/>
  <cols>
    <col min="1" max="1" width="6.1796875" customWidth="1"/>
    <col min="2" max="2" width="36.7265625" customWidth="1"/>
    <col min="3" max="3" width="14.81640625" customWidth="1"/>
    <col min="4" max="4" width="12.1796875" customWidth="1"/>
    <col min="5" max="5" width="83.7265625" customWidth="1"/>
    <col min="6" max="6" width="16.1796875" customWidth="1"/>
  </cols>
  <sheetData>
    <row r="2" spans="1:6" ht="13">
      <c r="A2" s="459" t="s">
        <v>94</v>
      </c>
      <c r="B2" s="459"/>
      <c r="C2" s="459"/>
      <c r="D2" s="459"/>
      <c r="E2" s="459"/>
      <c r="F2" s="460"/>
    </row>
    <row r="3" spans="1:6" ht="13">
      <c r="A3" s="152" t="s">
        <v>95</v>
      </c>
      <c r="B3" s="153" t="s">
        <v>28</v>
      </c>
      <c r="C3" s="153" t="s">
        <v>96</v>
      </c>
      <c r="D3" s="153" t="s">
        <v>97</v>
      </c>
      <c r="E3" s="154" t="s">
        <v>98</v>
      </c>
      <c r="F3" s="155" t="s">
        <v>99</v>
      </c>
    </row>
    <row r="4" spans="1:6" ht="13">
      <c r="A4" s="150">
        <v>1</v>
      </c>
      <c r="B4" s="20" t="s">
        <v>100</v>
      </c>
      <c r="C4" s="20" t="s">
        <v>101</v>
      </c>
      <c r="D4" s="21"/>
      <c r="E4" s="22" t="s">
        <v>102</v>
      </c>
      <c r="F4" s="151">
        <v>45658</v>
      </c>
    </row>
    <row r="5" spans="1:6" ht="13">
      <c r="A5" s="150">
        <v>2</v>
      </c>
      <c r="B5" s="20" t="s">
        <v>103</v>
      </c>
      <c r="C5" s="20" t="s">
        <v>101</v>
      </c>
      <c r="D5" s="23"/>
      <c r="E5" s="24" t="s">
        <v>104</v>
      </c>
      <c r="F5" s="151">
        <f>+F4</f>
        <v>45658</v>
      </c>
    </row>
    <row r="6" spans="1:6" ht="13">
      <c r="A6" s="150">
        <v>3</v>
      </c>
      <c r="B6" s="20" t="s">
        <v>105</v>
      </c>
      <c r="C6" s="20" t="s">
        <v>101</v>
      </c>
      <c r="D6" s="23"/>
      <c r="E6" s="25" t="s">
        <v>106</v>
      </c>
      <c r="F6" s="151">
        <f>+F5</f>
        <v>45658</v>
      </c>
    </row>
    <row r="7" spans="1:6" ht="13">
      <c r="A7" s="156">
        <v>4</v>
      </c>
      <c r="B7" s="157" t="s">
        <v>107</v>
      </c>
      <c r="C7" s="157" t="s">
        <v>108</v>
      </c>
      <c r="D7" s="158"/>
      <c r="E7" s="159" t="s">
        <v>102</v>
      </c>
      <c r="F7" s="160">
        <f>+F5</f>
        <v>45658</v>
      </c>
    </row>
    <row r="8" spans="1:6" ht="13">
      <c r="A8" s="156">
        <v>5</v>
      </c>
      <c r="B8" s="157" t="s">
        <v>109</v>
      </c>
      <c r="C8" s="157" t="s">
        <v>110</v>
      </c>
      <c r="D8" s="158"/>
      <c r="E8" s="159" t="s">
        <v>102</v>
      </c>
      <c r="F8" s="160">
        <f>+F6</f>
        <v>45658</v>
      </c>
    </row>
    <row r="13" spans="1:6">
      <c r="B13" s="290"/>
    </row>
    <row r="14" spans="1:6">
      <c r="B14" s="291"/>
    </row>
  </sheetData>
  <mergeCells count="1">
    <mergeCell ref="A2:F2"/>
  </mergeCells>
  <hyperlinks>
    <hyperlink ref="E5" r:id="rId1" xr:uid="{A549BDB9-F7FB-485F-A0FF-E5C494E20A6C}"/>
    <hyperlink ref="E6" r:id="rId2" xr:uid="{7B4F7A7D-CE5B-425C-8343-D4276A632D92}"/>
  </hyperlinks>
  <pageMargins left="0.7" right="0.7" top="0.75" bottom="0.75" header="0.3" footer="0.3"/>
  <pageSetup scale="73" orientation="landscape"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B976-FF41-48D5-81C9-5AAAD2580DF6}">
  <sheetPr>
    <tabColor theme="4" tint="0.59999389629810485"/>
    <pageSetUpPr fitToPage="1"/>
  </sheetPr>
  <dimension ref="A1:F73"/>
  <sheetViews>
    <sheetView topLeftCell="A31" zoomScale="70" zoomScaleNormal="70" zoomScaleSheetLayoutView="85" workbookViewId="0">
      <selection activeCell="A34" sqref="A34:F34"/>
    </sheetView>
  </sheetViews>
  <sheetFormatPr baseColWidth="10" defaultColWidth="11.453125" defaultRowHeight="12.5"/>
  <cols>
    <col min="1" max="1" width="9.7265625" customWidth="1"/>
    <col min="2" max="2" width="52.7265625" customWidth="1"/>
    <col min="3" max="3" width="23.1796875" customWidth="1"/>
    <col min="4" max="4" width="25.26953125" customWidth="1"/>
    <col min="5" max="5" width="18.81640625" customWidth="1"/>
    <col min="6" max="6" width="18.54296875" customWidth="1"/>
  </cols>
  <sheetData>
    <row r="1" spans="1:6" ht="34.15" customHeight="1">
      <c r="A1" s="462" t="str">
        <f>+'PRES. SISFV'!A1</f>
        <v xml:space="preserve">IMPLEMENTACIÓN DE SOLUCIONES ENERGÉTICAS SOSTENIBLES CON FUENTES NO CONVENCIONALES, PARA LAS COMUNIDADES RURALES DEL MUNICIPIO DE PIVIJAY, DEPARTAMENTO MAGDALENA.                                                                                                                                                                                                                          </v>
      </c>
      <c r="B1" s="462"/>
      <c r="C1" s="462"/>
      <c r="D1" s="462"/>
      <c r="E1" s="462"/>
      <c r="F1" s="462"/>
    </row>
    <row r="2" spans="1:6" ht="13">
      <c r="A2" s="469" t="s">
        <v>111</v>
      </c>
      <c r="B2" s="469"/>
      <c r="C2" s="469"/>
      <c r="D2" s="469"/>
      <c r="E2" s="469"/>
      <c r="F2" s="469"/>
    </row>
    <row r="3" spans="1:6" ht="26.5" customHeight="1">
      <c r="A3" s="152" t="s">
        <v>112</v>
      </c>
      <c r="B3" s="152" t="s">
        <v>113</v>
      </c>
      <c r="C3" s="153" t="s">
        <v>114</v>
      </c>
      <c r="D3" s="153" t="s">
        <v>115</v>
      </c>
      <c r="E3" s="153" t="s">
        <v>116</v>
      </c>
      <c r="F3" s="162" t="s">
        <v>117</v>
      </c>
    </row>
    <row r="4" spans="1:6" ht="13">
      <c r="A4" s="150">
        <v>1</v>
      </c>
      <c r="B4" s="161" t="s">
        <v>118</v>
      </c>
      <c r="C4" s="293" t="s">
        <v>119</v>
      </c>
      <c r="D4" s="293" t="s">
        <v>120</v>
      </c>
      <c r="E4" s="21"/>
      <c r="F4" s="294"/>
    </row>
    <row r="5" spans="1:6" ht="13">
      <c r="A5" s="150">
        <v>2</v>
      </c>
      <c r="B5" s="292" t="s">
        <v>121</v>
      </c>
      <c r="C5" s="293" t="s">
        <v>120</v>
      </c>
      <c r="D5" s="293" t="s">
        <v>122</v>
      </c>
      <c r="E5" s="21"/>
      <c r="F5" s="294"/>
    </row>
    <row r="6" spans="1:6" ht="13">
      <c r="A6" s="150">
        <v>3</v>
      </c>
      <c r="B6" s="292" t="s">
        <v>121</v>
      </c>
      <c r="C6" s="293" t="s">
        <v>119</v>
      </c>
      <c r="D6" s="293" t="s">
        <v>122</v>
      </c>
      <c r="E6" s="21"/>
      <c r="F6" s="294"/>
    </row>
    <row r="7" spans="1:6" ht="13">
      <c r="A7" s="150">
        <v>4</v>
      </c>
      <c r="B7" s="161" t="s">
        <v>123</v>
      </c>
      <c r="C7" s="293" t="s">
        <v>120</v>
      </c>
      <c r="D7" s="293" t="s">
        <v>122</v>
      </c>
      <c r="E7" s="21"/>
      <c r="F7" s="295"/>
    </row>
    <row r="8" spans="1:6" ht="31.9" customHeight="1">
      <c r="A8" s="150" t="s">
        <v>124</v>
      </c>
      <c r="B8" s="371" t="s">
        <v>125</v>
      </c>
      <c r="C8" s="296" t="s">
        <v>126</v>
      </c>
      <c r="D8" s="297" t="s">
        <v>127</v>
      </c>
      <c r="E8" s="298"/>
      <c r="F8" s="299"/>
    </row>
    <row r="9" spans="1:6" ht="25">
      <c r="A9" s="150" t="s">
        <v>128</v>
      </c>
      <c r="B9" s="371" t="s">
        <v>129</v>
      </c>
      <c r="C9" s="296" t="s">
        <v>130</v>
      </c>
      <c r="D9" s="297" t="s">
        <v>131</v>
      </c>
      <c r="E9" s="21"/>
      <c r="F9" s="299"/>
    </row>
    <row r="10" spans="1:6" ht="52">
      <c r="A10" s="150">
        <v>6</v>
      </c>
      <c r="B10" s="372" t="s">
        <v>132</v>
      </c>
      <c r="C10" s="293" t="s">
        <v>120</v>
      </c>
      <c r="D10" s="297" t="s">
        <v>127</v>
      </c>
      <c r="E10" s="21"/>
      <c r="F10" s="295"/>
    </row>
    <row r="11" spans="1:6" ht="13">
      <c r="A11" s="150">
        <v>7</v>
      </c>
      <c r="B11" s="163" t="s">
        <v>133</v>
      </c>
      <c r="C11" s="297" t="s">
        <v>134</v>
      </c>
      <c r="D11" s="297" t="s">
        <v>127</v>
      </c>
      <c r="E11" s="298"/>
      <c r="F11" s="295"/>
    </row>
    <row r="18" spans="1:5">
      <c r="B18" s="290"/>
    </row>
    <row r="19" spans="1:5">
      <c r="B19" s="291"/>
    </row>
    <row r="21" spans="1:5" ht="18.5">
      <c r="A21" s="463" t="s">
        <v>135</v>
      </c>
      <c r="B21" s="464"/>
      <c r="C21" s="464"/>
      <c r="D21" s="464"/>
      <c r="E21" s="465"/>
    </row>
    <row r="22" spans="1:5" ht="15.5">
      <c r="A22" s="300" t="s">
        <v>136</v>
      </c>
      <c r="B22" s="301" t="s">
        <v>137</v>
      </c>
      <c r="C22" s="301" t="s">
        <v>138</v>
      </c>
      <c r="D22" s="301" t="s">
        <v>139</v>
      </c>
      <c r="E22" s="302" t="s">
        <v>140</v>
      </c>
    </row>
    <row r="23" spans="1:5" ht="15.5">
      <c r="A23" s="394">
        <v>2</v>
      </c>
      <c r="B23" s="303" t="s">
        <v>141</v>
      </c>
      <c r="C23" s="303" t="s">
        <v>142</v>
      </c>
      <c r="D23" s="356" t="s">
        <v>143</v>
      </c>
      <c r="E23" s="395"/>
    </row>
    <row r="24" spans="1:5" ht="15.5">
      <c r="A24" s="394">
        <v>3</v>
      </c>
      <c r="B24" s="303" t="s">
        <v>144</v>
      </c>
      <c r="C24" s="303" t="s">
        <v>142</v>
      </c>
      <c r="D24" s="356" t="s">
        <v>145</v>
      </c>
      <c r="E24" s="395"/>
    </row>
    <row r="25" spans="1:5" ht="15.5">
      <c r="A25" s="394">
        <v>5</v>
      </c>
      <c r="B25" s="303" t="s">
        <v>146</v>
      </c>
      <c r="C25" s="303" t="s">
        <v>142</v>
      </c>
      <c r="D25" s="356" t="s">
        <v>147</v>
      </c>
      <c r="E25" s="395"/>
    </row>
    <row r="26" spans="1:5" ht="29">
      <c r="A26" s="394">
        <v>7</v>
      </c>
      <c r="B26" s="303" t="s">
        <v>148</v>
      </c>
      <c r="C26" s="303" t="s">
        <v>142</v>
      </c>
      <c r="D26" s="356" t="s">
        <v>149</v>
      </c>
      <c r="E26" s="395"/>
    </row>
    <row r="27" spans="1:5" ht="29">
      <c r="A27" s="394">
        <v>8</v>
      </c>
      <c r="B27" s="303" t="s">
        <v>150</v>
      </c>
      <c r="C27" s="303" t="s">
        <v>142</v>
      </c>
      <c r="D27" s="356" t="s">
        <v>151</v>
      </c>
      <c r="E27" s="395"/>
    </row>
    <row r="28" spans="1:5" ht="29">
      <c r="A28" s="394">
        <v>11</v>
      </c>
      <c r="B28" s="303" t="s">
        <v>152</v>
      </c>
      <c r="C28" s="303" t="s">
        <v>142</v>
      </c>
      <c r="D28" s="356" t="s">
        <v>153</v>
      </c>
      <c r="E28" s="395"/>
    </row>
    <row r="29" spans="1:5" ht="21" customHeight="1">
      <c r="A29" s="396">
        <v>13</v>
      </c>
      <c r="B29" s="397" t="s">
        <v>154</v>
      </c>
      <c r="C29" s="397" t="s">
        <v>142</v>
      </c>
      <c r="D29" s="398" t="s">
        <v>155</v>
      </c>
      <c r="E29" s="395"/>
    </row>
    <row r="30" spans="1:5" ht="15.5">
      <c r="D30" s="305" t="s">
        <v>156</v>
      </c>
      <c r="E30" s="304" t="e">
        <f>+AVERAGE(E23:E29)*(1+5.23%)</f>
        <v>#DIV/0!</v>
      </c>
    </row>
    <row r="31" spans="1:5" ht="15.5">
      <c r="D31" s="305" t="s">
        <v>157</v>
      </c>
      <c r="E31" s="306"/>
    </row>
    <row r="32" spans="1:5" ht="25.15" customHeight="1">
      <c r="D32" s="305" t="s">
        <v>158</v>
      </c>
      <c r="E32" s="373"/>
    </row>
    <row r="33" spans="1:6" ht="15.5">
      <c r="D33" s="305" t="s">
        <v>159</v>
      </c>
      <c r="E33" s="304" t="e">
        <f>ROUND(E30*E31/1400,0)</f>
        <v>#DIV/0!</v>
      </c>
    </row>
    <row r="34" spans="1:6" ht="25.15" customHeight="1">
      <c r="A34" s="466"/>
      <c r="B34" s="466"/>
      <c r="C34" s="466"/>
      <c r="D34" s="466"/>
      <c r="E34" s="466"/>
      <c r="F34" s="466"/>
    </row>
    <row r="38" spans="1:6" ht="13">
      <c r="B38" s="310" t="s">
        <v>127</v>
      </c>
      <c r="C38" s="310" t="s">
        <v>160</v>
      </c>
      <c r="D38" s="310" t="s">
        <v>161</v>
      </c>
      <c r="E38" s="310" t="s">
        <v>22</v>
      </c>
    </row>
    <row r="39" spans="1:6">
      <c r="B39" s="333" t="s">
        <v>162</v>
      </c>
      <c r="C39" s="364">
        <f>+E72</f>
        <v>31.460810810810806</v>
      </c>
      <c r="D39" s="334" t="e">
        <f>+E30</f>
        <v>#DIV/0!</v>
      </c>
      <c r="E39" s="335" t="e">
        <f>+C39*D39</f>
        <v>#DIV/0!</v>
      </c>
    </row>
    <row r="40" spans="1:6">
      <c r="D40" s="365" t="s">
        <v>163</v>
      </c>
      <c r="E40" s="361" t="s">
        <v>164</v>
      </c>
    </row>
    <row r="41" spans="1:6" ht="13">
      <c r="D41" s="366" t="s">
        <v>165</v>
      </c>
      <c r="E41" s="176" t="e">
        <f>+E39/500</f>
        <v>#DIV/0!</v>
      </c>
    </row>
    <row r="43" spans="1:6" ht="13">
      <c r="B43" s="467" t="s">
        <v>166</v>
      </c>
      <c r="C43" s="468"/>
    </row>
    <row r="44" spans="1:6">
      <c r="B44" s="175" t="s">
        <v>167</v>
      </c>
      <c r="C44" s="367">
        <v>80</v>
      </c>
    </row>
    <row r="45" spans="1:6">
      <c r="B45" s="175" t="s">
        <v>168</v>
      </c>
      <c r="C45" s="362"/>
    </row>
    <row r="46" spans="1:6">
      <c r="B46" s="175" t="s">
        <v>169</v>
      </c>
      <c r="C46" s="363">
        <v>8</v>
      </c>
    </row>
    <row r="47" spans="1:6" ht="13">
      <c r="B47" s="368" t="s">
        <v>170</v>
      </c>
      <c r="C47" s="369">
        <f>+C45/(C46*C44)</f>
        <v>0</v>
      </c>
    </row>
    <row r="48" spans="1:6" ht="13">
      <c r="B48" s="370" t="s">
        <v>171</v>
      </c>
      <c r="C48" s="369">
        <f>+C47*E73</f>
        <v>0</v>
      </c>
    </row>
    <row r="50" spans="1:5" ht="13">
      <c r="D50" s="449" t="s">
        <v>172</v>
      </c>
      <c r="E50" s="450"/>
    </row>
    <row r="51" spans="1:5" ht="13">
      <c r="A51" s="449" t="s">
        <v>173</v>
      </c>
      <c r="B51" s="470"/>
      <c r="C51" s="470"/>
      <c r="D51" s="310" t="s">
        <v>174</v>
      </c>
      <c r="E51" s="310" t="s">
        <v>175</v>
      </c>
    </row>
    <row r="52" spans="1:5" ht="14.5">
      <c r="A52" s="461" t="s">
        <v>122</v>
      </c>
      <c r="B52" s="399" t="s">
        <v>6</v>
      </c>
      <c r="C52" s="400">
        <v>71</v>
      </c>
      <c r="D52" s="401">
        <v>51</v>
      </c>
      <c r="E52" s="400">
        <v>0.79</v>
      </c>
    </row>
    <row r="53" spans="1:5" ht="14.5">
      <c r="A53" s="461"/>
      <c r="B53" s="399" t="s">
        <v>7</v>
      </c>
      <c r="C53" s="400">
        <v>11</v>
      </c>
      <c r="D53" s="401">
        <v>17.399999999999999</v>
      </c>
      <c r="E53" s="400">
        <v>0.72</v>
      </c>
    </row>
    <row r="54" spans="1:5" ht="14.5">
      <c r="A54" s="461"/>
      <c r="B54" s="399" t="s">
        <v>8</v>
      </c>
      <c r="C54" s="400">
        <v>43</v>
      </c>
      <c r="D54" s="401">
        <v>38</v>
      </c>
      <c r="E54" s="400">
        <v>1.4</v>
      </c>
    </row>
    <row r="55" spans="1:5" ht="14.5">
      <c r="A55" s="461"/>
      <c r="B55" s="399" t="s">
        <v>9</v>
      </c>
      <c r="C55" s="400">
        <v>10</v>
      </c>
      <c r="D55" s="400">
        <v>39.799999999999997</v>
      </c>
      <c r="E55" s="400">
        <v>0.79</v>
      </c>
    </row>
    <row r="56" spans="1:5" ht="14.5">
      <c r="A56" s="461"/>
      <c r="B56" s="399" t="s">
        <v>10</v>
      </c>
      <c r="C56" s="400">
        <v>19</v>
      </c>
      <c r="D56" s="400">
        <v>29.6</v>
      </c>
      <c r="E56" s="400">
        <v>0.85299999999999998</v>
      </c>
    </row>
    <row r="57" spans="1:5" ht="14.5">
      <c r="A57" s="461"/>
      <c r="B57" s="399" t="s">
        <v>11</v>
      </c>
      <c r="C57" s="400">
        <v>17</v>
      </c>
      <c r="D57" s="400">
        <v>18.100000000000001</v>
      </c>
      <c r="E57" s="400">
        <v>0.62</v>
      </c>
    </row>
    <row r="58" spans="1:5" ht="14.5">
      <c r="A58" s="461"/>
      <c r="B58" s="399" t="s">
        <v>12</v>
      </c>
      <c r="C58" s="400">
        <v>14</v>
      </c>
      <c r="D58" s="400">
        <v>17.600000000000001</v>
      </c>
      <c r="E58" s="400">
        <v>0.3</v>
      </c>
    </row>
    <row r="59" spans="1:5" ht="14.5">
      <c r="A59" s="461"/>
      <c r="B59" s="399" t="s">
        <v>13</v>
      </c>
      <c r="C59" s="400">
        <v>35</v>
      </c>
      <c r="D59" s="400">
        <v>41.5</v>
      </c>
      <c r="E59" s="400">
        <v>0.81599999999999995</v>
      </c>
    </row>
    <row r="60" spans="1:5" ht="14.5">
      <c r="A60" s="461"/>
      <c r="B60" s="399" t="s">
        <v>14</v>
      </c>
      <c r="C60" s="400">
        <v>44</v>
      </c>
      <c r="D60" s="400">
        <v>32.700000000000003</v>
      </c>
      <c r="E60" s="400">
        <v>1.0649999999999999</v>
      </c>
    </row>
    <row r="61" spans="1:5" ht="14.5">
      <c r="A61" s="461"/>
      <c r="B61" s="399" t="s">
        <v>15</v>
      </c>
      <c r="C61" s="400">
        <v>67</v>
      </c>
      <c r="D61" s="400">
        <v>9.5</v>
      </c>
      <c r="E61" s="400">
        <v>0.91500000000000004</v>
      </c>
    </row>
    <row r="62" spans="1:5" ht="14.5">
      <c r="A62" s="461"/>
      <c r="B62" s="399" t="s">
        <v>16</v>
      </c>
      <c r="C62" s="400">
        <v>6</v>
      </c>
      <c r="D62" s="400">
        <v>39.200000000000003</v>
      </c>
      <c r="E62" s="400">
        <v>0.88</v>
      </c>
    </row>
    <row r="63" spans="1:5" ht="14.5">
      <c r="A63" s="461"/>
      <c r="B63" s="399" t="s">
        <v>17</v>
      </c>
      <c r="C63" s="400">
        <v>2</v>
      </c>
      <c r="D63" s="400">
        <v>34.85</v>
      </c>
      <c r="E63" s="400">
        <v>0.752</v>
      </c>
    </row>
    <row r="64" spans="1:5" ht="14.5">
      <c r="A64" s="461"/>
      <c r="B64" s="399" t="s">
        <v>18</v>
      </c>
      <c r="C64" s="400">
        <v>2</v>
      </c>
      <c r="D64" s="400">
        <v>53.6</v>
      </c>
      <c r="E64" s="400">
        <v>0.44</v>
      </c>
    </row>
    <row r="65" spans="1:5" ht="14.5">
      <c r="A65" s="461"/>
      <c r="B65" s="399" t="s">
        <v>19</v>
      </c>
      <c r="C65" s="400">
        <v>9</v>
      </c>
      <c r="D65" s="400">
        <v>7.1</v>
      </c>
      <c r="E65" s="400">
        <v>0.72</v>
      </c>
    </row>
    <row r="66" spans="1:5" ht="14.5">
      <c r="A66" s="461"/>
      <c r="B66" s="399" t="s">
        <v>176</v>
      </c>
      <c r="C66" s="400">
        <v>2</v>
      </c>
      <c r="D66" s="400">
        <v>10.65</v>
      </c>
      <c r="E66" s="400">
        <v>0.57599999999999996</v>
      </c>
    </row>
    <row r="67" spans="1:5" ht="14.5">
      <c r="A67" s="461"/>
      <c r="B67" s="399" t="s">
        <v>20</v>
      </c>
      <c r="C67" s="400">
        <v>1</v>
      </c>
      <c r="D67" s="400">
        <v>24.8</v>
      </c>
      <c r="E67" s="400">
        <v>1.02</v>
      </c>
    </row>
    <row r="68" spans="1:5" ht="14.5">
      <c r="A68" s="461"/>
      <c r="B68" s="399" t="s">
        <v>21</v>
      </c>
      <c r="C68" s="400">
        <v>5</v>
      </c>
      <c r="D68" s="400">
        <v>4.1399999999999997</v>
      </c>
      <c r="E68" s="400">
        <v>1.32</v>
      </c>
    </row>
    <row r="69" spans="1:5" ht="14.5">
      <c r="A69" s="461"/>
      <c r="B69" s="399" t="s">
        <v>21</v>
      </c>
      <c r="C69" s="400">
        <v>6</v>
      </c>
      <c r="D69" s="400">
        <v>59.9</v>
      </c>
      <c r="E69" s="400">
        <v>2.14</v>
      </c>
    </row>
    <row r="70" spans="1:5" ht="14.5">
      <c r="A70" s="461"/>
      <c r="B70" s="399" t="s">
        <v>21</v>
      </c>
      <c r="C70" s="400">
        <v>6</v>
      </c>
      <c r="D70" s="400">
        <v>41.6</v>
      </c>
      <c r="E70" s="400">
        <v>3.38</v>
      </c>
    </row>
    <row r="71" spans="1:5" ht="13">
      <c r="B71" s="285" t="s">
        <v>22</v>
      </c>
      <c r="C71" s="358">
        <f>SUM(C52:C70)</f>
        <v>370</v>
      </c>
      <c r="D71" s="358">
        <f>SUM(D52:D70)</f>
        <v>571.04000000000008</v>
      </c>
      <c r="E71" s="359" t="s">
        <v>177</v>
      </c>
    </row>
    <row r="72" spans="1:5" ht="13">
      <c r="D72" s="360" t="s">
        <v>178</v>
      </c>
      <c r="E72" s="358">
        <f>SUMPRODUCT(C52:C70,D52:D70)/$C$71</f>
        <v>31.460810810810806</v>
      </c>
    </row>
    <row r="73" spans="1:5" ht="13">
      <c r="D73" s="46" t="s">
        <v>179</v>
      </c>
      <c r="E73" s="358">
        <f>SUMPRODUCT(C52:C70,E52:E70)/$C$71</f>
        <v>0.96167027027027019</v>
      </c>
    </row>
  </sheetData>
  <autoFilter ref="B38:C45" xr:uid="{155EB976-FF41-48D5-81C9-5AAAD2580DF6}"/>
  <mergeCells count="8">
    <mergeCell ref="A52:A70"/>
    <mergeCell ref="A1:F1"/>
    <mergeCell ref="A21:E21"/>
    <mergeCell ref="D50:E50"/>
    <mergeCell ref="A34:F34"/>
    <mergeCell ref="B43:C43"/>
    <mergeCell ref="A2:F2"/>
    <mergeCell ref="A51:C51"/>
  </mergeCells>
  <phoneticPr fontId="28" type="noConversion"/>
  <printOptions horizontalCentered="1"/>
  <pageMargins left="0.70866141732283472" right="0.70866141732283472" top="0.74803149606299213" bottom="0.74803149606299213" header="0.31496062992125984" footer="0.31496062992125984"/>
  <pageSetup scale="42"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7A8-65CA-429C-82EC-C990ED2A88E2}">
  <sheetPr>
    <tabColor theme="6" tint="0.59999389629810485"/>
    <pageSetUpPr fitToPage="1"/>
  </sheetPr>
  <dimension ref="A2:K39"/>
  <sheetViews>
    <sheetView view="pageBreakPreview" topLeftCell="A16" zoomScale="80" zoomScaleNormal="90" zoomScaleSheetLayoutView="80" workbookViewId="0">
      <selection activeCell="H13" sqref="H13"/>
    </sheetView>
  </sheetViews>
  <sheetFormatPr baseColWidth="10" defaultColWidth="11.453125" defaultRowHeight="12.5"/>
  <cols>
    <col min="1" max="1" width="8.54296875" customWidth="1"/>
    <col min="2" max="2" width="29.81640625" bestFit="1" customWidth="1"/>
    <col min="3" max="3" width="20.26953125" customWidth="1"/>
    <col min="4" max="4" width="19" customWidth="1"/>
    <col min="5" max="5" width="21.453125" customWidth="1"/>
    <col min="6" max="7" width="15.81640625" customWidth="1"/>
    <col min="8" max="8" width="16.7265625" bestFit="1" customWidth="1"/>
    <col min="9" max="9" width="57" bestFit="1" customWidth="1"/>
    <col min="10" max="10" width="21.54296875" customWidth="1"/>
  </cols>
  <sheetData>
    <row r="2" spans="1:11" ht="14">
      <c r="A2" s="471" t="str">
        <f>+'PRES. SISFV'!$A$1</f>
        <v xml:space="preserve">IMPLEMENTACIÓN DE SOLUCIONES ENERGÉTICAS SOSTENIBLES CON FUENTES NO CONVENCIONALES, PARA LAS COMUNIDADES RURALES DEL MUNICIPIO DE PIVIJAY, DEPARTAMENTO MAGDALENA.                                                                                                                                                                                                                          </v>
      </c>
      <c r="B2" s="471"/>
      <c r="C2" s="471"/>
      <c r="D2" s="471"/>
      <c r="E2" s="471"/>
      <c r="F2" s="471"/>
      <c r="G2" s="471"/>
      <c r="H2" s="471"/>
      <c r="I2" s="471"/>
      <c r="J2" s="471"/>
      <c r="K2" s="3"/>
    </row>
    <row r="5" spans="1:11">
      <c r="B5" s="6" t="s">
        <v>180</v>
      </c>
      <c r="C5" s="27"/>
      <c r="D5" s="6" t="s">
        <v>181</v>
      </c>
    </row>
    <row r="6" spans="1:11" ht="14.5">
      <c r="B6" s="6" t="s">
        <v>182</v>
      </c>
      <c r="C6" s="28"/>
      <c r="D6" s="6" t="s">
        <v>181</v>
      </c>
    </row>
    <row r="7" spans="1:11" ht="14.5">
      <c r="B7" s="6" t="s">
        <v>183</v>
      </c>
      <c r="C7" s="29"/>
    </row>
    <row r="8" spans="1:11">
      <c r="B8" s="30" t="s">
        <v>184</v>
      </c>
      <c r="C8" s="17"/>
      <c r="D8" s="31"/>
    </row>
    <row r="11" spans="1:11" ht="13">
      <c r="A11" s="472" t="s">
        <v>185</v>
      </c>
      <c r="B11" s="472"/>
      <c r="C11" s="472"/>
      <c r="D11" s="472"/>
      <c r="E11" s="472"/>
      <c r="F11" s="472"/>
      <c r="G11" s="472"/>
      <c r="H11" s="472"/>
      <c r="I11" s="472"/>
      <c r="J11" s="472"/>
    </row>
    <row r="12" spans="1:11" ht="27.65" customHeight="1">
      <c r="A12" s="376" t="s">
        <v>137</v>
      </c>
      <c r="B12" s="376" t="s">
        <v>186</v>
      </c>
      <c r="C12" s="376" t="s">
        <v>187</v>
      </c>
      <c r="D12" s="376" t="s">
        <v>188</v>
      </c>
      <c r="E12" s="376" t="s">
        <v>182</v>
      </c>
      <c r="F12" s="376" t="s">
        <v>189</v>
      </c>
      <c r="G12" s="378" t="s">
        <v>190</v>
      </c>
      <c r="H12" s="376" t="s">
        <v>191</v>
      </c>
      <c r="I12" s="376" t="s">
        <v>98</v>
      </c>
      <c r="J12" s="376" t="s">
        <v>99</v>
      </c>
      <c r="K12" s="377" t="s">
        <v>192</v>
      </c>
    </row>
    <row r="13" spans="1:11" ht="14.5">
      <c r="A13" s="9">
        <v>1</v>
      </c>
      <c r="B13" s="9" t="s">
        <v>193</v>
      </c>
      <c r="C13" s="9" t="s">
        <v>194</v>
      </c>
      <c r="D13" s="374"/>
      <c r="E13" s="33">
        <f t="shared" ref="E13:E33" si="0">IF(G13&gt;2*$C$5,0,$C$6)</f>
        <v>0</v>
      </c>
      <c r="F13" s="34">
        <f t="shared" ref="F13:F31" si="1">$C$7</f>
        <v>0</v>
      </c>
      <c r="G13" s="32">
        <f>+ManoObra[[#This Row],[Valor mensual base]]*(1+ManoObra[[#This Row],[Margen positivo]])</f>
        <v>0</v>
      </c>
      <c r="H13" s="33" t="e">
        <f t="shared" ref="H13:H33" si="2">ROUND((D13+E13)/$C$8*(1+F13),0)</f>
        <v>#DIV/0!</v>
      </c>
      <c r="I13" s="35" t="s">
        <v>195</v>
      </c>
      <c r="J13" s="36">
        <v>45689</v>
      </c>
      <c r="K13" s="9" t="str">
        <f>+IF(ManoObra[[#This Row],[Valor mensual base]]&gt;=$C$5,"ok","&lt;SMMLV")</f>
        <v>ok</v>
      </c>
    </row>
    <row r="14" spans="1:11" ht="14.5">
      <c r="A14" s="9">
        <v>2</v>
      </c>
      <c r="B14" s="9" t="s">
        <v>196</v>
      </c>
      <c r="C14" s="9" t="s">
        <v>194</v>
      </c>
      <c r="D14" s="32"/>
      <c r="E14" s="33">
        <f t="shared" si="0"/>
        <v>0</v>
      </c>
      <c r="F14" s="34">
        <f t="shared" si="1"/>
        <v>0</v>
      </c>
      <c r="G14" s="32">
        <f>+ManoObra[[#This Row],[Valor mensual base]]*(1+ManoObra[[#This Row],[Margen positivo]])</f>
        <v>0</v>
      </c>
      <c r="H14" s="33" t="e">
        <f t="shared" si="2"/>
        <v>#DIV/0!</v>
      </c>
      <c r="I14" s="35" t="s">
        <v>197</v>
      </c>
      <c r="J14" s="36">
        <f>+J13</f>
        <v>45689</v>
      </c>
      <c r="K14" s="9" t="str">
        <f>+IF(ManoObra[[#This Row],[Valor mensual base]]&gt;=$C$5,"ok","&lt;SMMLV")</f>
        <v>ok</v>
      </c>
    </row>
    <row r="15" spans="1:11" ht="14.5">
      <c r="A15" s="9">
        <v>3</v>
      </c>
      <c r="B15" s="9" t="s">
        <v>198</v>
      </c>
      <c r="C15" s="9" t="s">
        <v>194</v>
      </c>
      <c r="D15" s="32"/>
      <c r="E15" s="33">
        <f t="shared" si="0"/>
        <v>0</v>
      </c>
      <c r="F15" s="34">
        <f t="shared" si="1"/>
        <v>0</v>
      </c>
      <c r="G15" s="32">
        <f>+ManoObra[[#This Row],[Valor mensual base]]*(1+ManoObra[[#This Row],[Margen positivo]])</f>
        <v>0</v>
      </c>
      <c r="H15" s="33" t="e">
        <f t="shared" si="2"/>
        <v>#DIV/0!</v>
      </c>
      <c r="I15" s="35" t="s">
        <v>199</v>
      </c>
      <c r="J15" s="36">
        <f t="shared" ref="J15:J32" si="3">+J14</f>
        <v>45689</v>
      </c>
      <c r="K15" s="9" t="str">
        <f>+IF(ManoObra[[#This Row],[Valor mensual base]]&gt;=$C$5,"ok","&lt;SMMLV")</f>
        <v>ok</v>
      </c>
    </row>
    <row r="16" spans="1:11" ht="14.5">
      <c r="A16" s="9">
        <v>4</v>
      </c>
      <c r="B16" s="6" t="s">
        <v>200</v>
      </c>
      <c r="C16" s="6" t="s">
        <v>194</v>
      </c>
      <c r="D16" s="32"/>
      <c r="E16" s="33">
        <f t="shared" si="0"/>
        <v>0</v>
      </c>
      <c r="F16" s="34">
        <f t="shared" si="1"/>
        <v>0</v>
      </c>
      <c r="G16" s="32">
        <f>+ManoObra[[#This Row],[Valor mensual base]]*(1+ManoObra[[#This Row],[Margen positivo]])</f>
        <v>0</v>
      </c>
      <c r="H16" s="33" t="e">
        <f t="shared" si="2"/>
        <v>#DIV/0!</v>
      </c>
      <c r="I16" s="35" t="s">
        <v>201</v>
      </c>
      <c r="J16" s="36">
        <f t="shared" si="3"/>
        <v>45689</v>
      </c>
      <c r="K16" s="9" t="str">
        <f>+IF(ManoObra[[#This Row],[Valor mensual base]]&gt;=$C$5,"ok","&lt;SMMLV")</f>
        <v>ok</v>
      </c>
    </row>
    <row r="17" spans="1:11" ht="14.5">
      <c r="A17" s="9">
        <v>5</v>
      </c>
      <c r="B17" s="6" t="s">
        <v>202</v>
      </c>
      <c r="C17" s="6" t="s">
        <v>203</v>
      </c>
      <c r="D17" s="32"/>
      <c r="E17" s="33">
        <f t="shared" si="0"/>
        <v>0</v>
      </c>
      <c r="F17" s="34">
        <f t="shared" si="1"/>
        <v>0</v>
      </c>
      <c r="G17" s="32">
        <f>+ManoObra[[#This Row],[Valor mensual base]]*(1+ManoObra[[#This Row],[Margen positivo]])</f>
        <v>0</v>
      </c>
      <c r="H17" s="33" t="e">
        <f t="shared" si="2"/>
        <v>#DIV/0!</v>
      </c>
      <c r="I17" s="35" t="s">
        <v>204</v>
      </c>
      <c r="J17" s="36">
        <f t="shared" si="3"/>
        <v>45689</v>
      </c>
      <c r="K17" s="9" t="str">
        <f>+IF(ManoObra[[#This Row],[Valor mensual base]]&gt;=$C$5,"ok","&lt;SMMLV")</f>
        <v>ok</v>
      </c>
    </row>
    <row r="18" spans="1:11" ht="14.5">
      <c r="A18" s="9">
        <v>6</v>
      </c>
      <c r="B18" s="6" t="s">
        <v>205</v>
      </c>
      <c r="C18" s="6" t="s">
        <v>194</v>
      </c>
      <c r="D18" s="32"/>
      <c r="E18" s="33">
        <f t="shared" si="0"/>
        <v>0</v>
      </c>
      <c r="F18" s="34">
        <f t="shared" si="1"/>
        <v>0</v>
      </c>
      <c r="G18" s="32">
        <f>+ManoObra[[#This Row],[Valor mensual base]]*(1+ManoObra[[#This Row],[Margen positivo]])</f>
        <v>0</v>
      </c>
      <c r="H18" s="33" t="e">
        <f t="shared" si="2"/>
        <v>#DIV/0!</v>
      </c>
      <c r="I18" s="35" t="s">
        <v>206</v>
      </c>
      <c r="J18" s="36">
        <f t="shared" si="3"/>
        <v>45689</v>
      </c>
      <c r="K18" s="9" t="str">
        <f>+IF(ManoObra[[#This Row],[Valor mensual base]]&gt;=$C$5,"ok","&lt;SMMLV")</f>
        <v>ok</v>
      </c>
    </row>
    <row r="19" spans="1:11" ht="14.5">
      <c r="A19" s="9">
        <v>7</v>
      </c>
      <c r="B19" s="6" t="s">
        <v>207</v>
      </c>
      <c r="C19" s="6" t="s">
        <v>194</v>
      </c>
      <c r="D19" s="32"/>
      <c r="E19" s="33">
        <f t="shared" si="0"/>
        <v>0</v>
      </c>
      <c r="F19" s="34">
        <f t="shared" si="1"/>
        <v>0</v>
      </c>
      <c r="G19" s="32">
        <f>+ManoObra[[#This Row],[Valor mensual base]]*(1+ManoObra[[#This Row],[Margen positivo]])</f>
        <v>0</v>
      </c>
      <c r="H19" s="33" t="e">
        <f t="shared" si="2"/>
        <v>#DIV/0!</v>
      </c>
      <c r="I19" s="35" t="s">
        <v>208</v>
      </c>
      <c r="J19" s="36">
        <f t="shared" si="3"/>
        <v>45689</v>
      </c>
      <c r="K19" s="9" t="str">
        <f>+IF(ManoObra[[#This Row],[Valor mensual base]]&gt;=$C$5,"ok","&lt;SMMLV")</f>
        <v>ok</v>
      </c>
    </row>
    <row r="20" spans="1:11" ht="14.5">
      <c r="A20" s="9">
        <v>8</v>
      </c>
      <c r="B20" s="6" t="s">
        <v>209</v>
      </c>
      <c r="C20" s="6" t="s">
        <v>203</v>
      </c>
      <c r="D20" s="32"/>
      <c r="E20" s="33">
        <f t="shared" si="0"/>
        <v>0</v>
      </c>
      <c r="F20" s="34">
        <f t="shared" si="1"/>
        <v>0</v>
      </c>
      <c r="G20" s="32">
        <f>+ManoObra[[#This Row],[Valor mensual base]]*(1+ManoObra[[#This Row],[Margen positivo]])</f>
        <v>0</v>
      </c>
      <c r="H20" s="33" t="e">
        <f t="shared" si="2"/>
        <v>#DIV/0!</v>
      </c>
      <c r="I20" s="35" t="s">
        <v>210</v>
      </c>
      <c r="J20" s="36">
        <f t="shared" si="3"/>
        <v>45689</v>
      </c>
      <c r="K20" s="9" t="str">
        <f>+IF(ManoObra[[#This Row],[Valor mensual base]]&gt;=$C$5,"ok","&lt;SMMLV")</f>
        <v>ok</v>
      </c>
    </row>
    <row r="21" spans="1:11" ht="14.5">
      <c r="A21" s="9">
        <v>9</v>
      </c>
      <c r="B21" s="6" t="s">
        <v>211</v>
      </c>
      <c r="C21" s="6" t="s">
        <v>203</v>
      </c>
      <c r="D21" s="32"/>
      <c r="E21" s="33">
        <f t="shared" si="0"/>
        <v>0</v>
      </c>
      <c r="F21" s="34">
        <f t="shared" si="1"/>
        <v>0</v>
      </c>
      <c r="G21" s="32">
        <f>+ManoObra[[#This Row],[Valor mensual base]]*(1+ManoObra[[#This Row],[Margen positivo]])</f>
        <v>0</v>
      </c>
      <c r="H21" s="33" t="e">
        <f t="shared" si="2"/>
        <v>#DIV/0!</v>
      </c>
      <c r="I21" s="35" t="s">
        <v>212</v>
      </c>
      <c r="J21" s="36">
        <f t="shared" si="3"/>
        <v>45689</v>
      </c>
      <c r="K21" s="9" t="str">
        <f>+IF(ManoObra[[#This Row],[Valor mensual base]]&gt;=$C$5,"ok","&lt;SMMLV")</f>
        <v>ok</v>
      </c>
    </row>
    <row r="22" spans="1:11" ht="14.5">
      <c r="A22" s="9">
        <v>10</v>
      </c>
      <c r="B22" s="6" t="s">
        <v>213</v>
      </c>
      <c r="C22" s="6" t="s">
        <v>203</v>
      </c>
      <c r="D22" s="32"/>
      <c r="E22" s="33">
        <f t="shared" si="0"/>
        <v>0</v>
      </c>
      <c r="F22" s="34">
        <f t="shared" si="1"/>
        <v>0</v>
      </c>
      <c r="G22" s="32">
        <f>+ManoObra[[#This Row],[Valor mensual base]]*(1+ManoObra[[#This Row],[Margen positivo]])</f>
        <v>0</v>
      </c>
      <c r="H22" s="33" t="e">
        <f t="shared" si="2"/>
        <v>#DIV/0!</v>
      </c>
      <c r="I22" s="35" t="s">
        <v>214</v>
      </c>
      <c r="J22" s="36">
        <f t="shared" si="3"/>
        <v>45689</v>
      </c>
      <c r="K22" s="9" t="str">
        <f>+IF(ManoObra[[#This Row],[Valor mensual base]]&gt;=$C$5,"ok","&lt;SMMLV")</f>
        <v>ok</v>
      </c>
    </row>
    <row r="23" spans="1:11" ht="14.5">
      <c r="A23" s="9">
        <v>11</v>
      </c>
      <c r="B23" s="6" t="s">
        <v>215</v>
      </c>
      <c r="C23" s="6" t="s">
        <v>194</v>
      </c>
      <c r="D23" s="32"/>
      <c r="E23" s="33">
        <f t="shared" si="0"/>
        <v>0</v>
      </c>
      <c r="F23" s="34">
        <f t="shared" si="1"/>
        <v>0</v>
      </c>
      <c r="G23" s="32">
        <f>+ManoObra[[#This Row],[Valor mensual base]]*(1+ManoObra[[#This Row],[Margen positivo]])</f>
        <v>0</v>
      </c>
      <c r="H23" s="33" t="e">
        <f t="shared" si="2"/>
        <v>#DIV/0!</v>
      </c>
      <c r="I23" s="35" t="s">
        <v>216</v>
      </c>
      <c r="J23" s="36">
        <f t="shared" si="3"/>
        <v>45689</v>
      </c>
      <c r="K23" s="9" t="str">
        <f>+IF(ManoObra[[#This Row],[Valor mensual base]]&gt;=$C$5,"ok","&lt;SMMLV")</f>
        <v>ok</v>
      </c>
    </row>
    <row r="24" spans="1:11" ht="14.5">
      <c r="A24" s="9">
        <v>12</v>
      </c>
      <c r="B24" s="6" t="s">
        <v>217</v>
      </c>
      <c r="C24" s="6" t="s">
        <v>194</v>
      </c>
      <c r="D24" s="32"/>
      <c r="E24" s="33">
        <f t="shared" si="0"/>
        <v>0</v>
      </c>
      <c r="F24" s="34">
        <f t="shared" si="1"/>
        <v>0</v>
      </c>
      <c r="G24" s="32">
        <f>+ManoObra[[#This Row],[Valor mensual base]]*(1+ManoObra[[#This Row],[Margen positivo]])</f>
        <v>0</v>
      </c>
      <c r="H24" s="33" t="e">
        <f t="shared" si="2"/>
        <v>#DIV/0!</v>
      </c>
      <c r="I24" s="35" t="s">
        <v>218</v>
      </c>
      <c r="J24" s="36">
        <f t="shared" si="3"/>
        <v>45689</v>
      </c>
      <c r="K24" s="9" t="str">
        <f>+IF(ManoObra[[#This Row],[Valor mensual base]]&gt;=$C$5,"ok","&lt;SMMLV")</f>
        <v>ok</v>
      </c>
    </row>
    <row r="25" spans="1:11" ht="14.5">
      <c r="A25" s="9">
        <v>13</v>
      </c>
      <c r="B25" s="6" t="s">
        <v>219</v>
      </c>
      <c r="C25" s="6" t="s">
        <v>194</v>
      </c>
      <c r="D25" s="32"/>
      <c r="E25" s="33">
        <f t="shared" si="0"/>
        <v>0</v>
      </c>
      <c r="F25" s="34">
        <f t="shared" si="1"/>
        <v>0</v>
      </c>
      <c r="G25" s="32">
        <f>+ManoObra[[#This Row],[Valor mensual base]]*(1+ManoObra[[#This Row],[Margen positivo]])</f>
        <v>0</v>
      </c>
      <c r="H25" s="33" t="e">
        <f t="shared" si="2"/>
        <v>#DIV/0!</v>
      </c>
      <c r="I25" s="35" t="s">
        <v>220</v>
      </c>
      <c r="J25" s="36">
        <f t="shared" si="3"/>
        <v>45689</v>
      </c>
      <c r="K25" s="9" t="str">
        <f>+IF(ManoObra[[#This Row],[Valor mensual base]]&gt;=$C$5,"ok","&lt;SMMLV")</f>
        <v>ok</v>
      </c>
    </row>
    <row r="26" spans="1:11" ht="14.5">
      <c r="A26" s="9">
        <v>14</v>
      </c>
      <c r="B26" s="9" t="s">
        <v>221</v>
      </c>
      <c r="C26" s="6" t="s">
        <v>194</v>
      </c>
      <c r="D26" s="32"/>
      <c r="E26" s="33">
        <f t="shared" si="0"/>
        <v>0</v>
      </c>
      <c r="F26" s="34">
        <f t="shared" si="1"/>
        <v>0</v>
      </c>
      <c r="G26" s="32">
        <f>+ManoObra[[#This Row],[Valor mensual base]]*(1+ManoObra[[#This Row],[Margen positivo]])</f>
        <v>0</v>
      </c>
      <c r="H26" s="33" t="e">
        <f t="shared" si="2"/>
        <v>#DIV/0!</v>
      </c>
      <c r="I26" s="35" t="s">
        <v>222</v>
      </c>
      <c r="J26" s="36">
        <f t="shared" si="3"/>
        <v>45689</v>
      </c>
      <c r="K26" s="9" t="str">
        <f>+IF(ManoObra[[#This Row],[Valor mensual base]]&gt;=$C$5,"ok","&lt;SMMLV")</f>
        <v>ok</v>
      </c>
    </row>
    <row r="27" spans="1:11" ht="14.5">
      <c r="A27" s="9">
        <v>15</v>
      </c>
      <c r="B27" s="9" t="s">
        <v>223</v>
      </c>
      <c r="C27" s="6" t="s">
        <v>203</v>
      </c>
      <c r="D27" s="32"/>
      <c r="E27" s="33">
        <f t="shared" si="0"/>
        <v>0</v>
      </c>
      <c r="F27" s="34">
        <f t="shared" si="1"/>
        <v>0</v>
      </c>
      <c r="G27" s="32">
        <f>+ManoObra[[#This Row],[Valor mensual base]]*(1+ManoObra[[#This Row],[Margen positivo]])</f>
        <v>0</v>
      </c>
      <c r="H27" s="33" t="e">
        <f t="shared" si="2"/>
        <v>#DIV/0!</v>
      </c>
      <c r="I27" s="9" t="s">
        <v>197</v>
      </c>
      <c r="J27" s="36">
        <f t="shared" si="3"/>
        <v>45689</v>
      </c>
      <c r="K27" s="9" t="str">
        <f>+IF(ManoObra[[#This Row],[Valor mensual base]]&gt;=$C$5,"ok","&lt;SMMLV")</f>
        <v>ok</v>
      </c>
    </row>
    <row r="28" spans="1:11" ht="14.5">
      <c r="A28" s="9">
        <v>16</v>
      </c>
      <c r="B28" s="6" t="s">
        <v>224</v>
      </c>
      <c r="C28" s="6" t="s">
        <v>203</v>
      </c>
      <c r="D28" s="32"/>
      <c r="E28" s="33">
        <f t="shared" si="0"/>
        <v>0</v>
      </c>
      <c r="F28" s="34">
        <f t="shared" si="1"/>
        <v>0</v>
      </c>
      <c r="G28" s="32">
        <f>+ManoObra[[#This Row],[Valor mensual base]]*(1+ManoObra[[#This Row],[Margen positivo]])</f>
        <v>0</v>
      </c>
      <c r="H28" s="33" t="e">
        <f t="shared" si="2"/>
        <v>#DIV/0!</v>
      </c>
      <c r="I28" s="9" t="s">
        <v>197</v>
      </c>
      <c r="J28" s="36">
        <f t="shared" si="3"/>
        <v>45689</v>
      </c>
      <c r="K28" s="9" t="str">
        <f>+IF(ManoObra[[#This Row],[Valor mensual base]]&gt;=$C$5,"ok","&lt;SMMLV")</f>
        <v>ok</v>
      </c>
    </row>
    <row r="29" spans="1:11" ht="14.5">
      <c r="A29" s="9">
        <v>17</v>
      </c>
      <c r="B29" s="6" t="s">
        <v>225</v>
      </c>
      <c r="C29" s="6" t="s">
        <v>203</v>
      </c>
      <c r="D29" s="32"/>
      <c r="E29" s="33">
        <f t="shared" si="0"/>
        <v>0</v>
      </c>
      <c r="F29" s="34">
        <f t="shared" si="1"/>
        <v>0</v>
      </c>
      <c r="G29" s="32">
        <f>+ManoObra[[#This Row],[Valor mensual base]]*(1+ManoObra[[#This Row],[Margen positivo]])</f>
        <v>0</v>
      </c>
      <c r="H29" s="33" t="e">
        <f t="shared" si="2"/>
        <v>#DIV/0!</v>
      </c>
      <c r="I29" s="35" t="s">
        <v>226</v>
      </c>
      <c r="J29" s="36">
        <f t="shared" si="3"/>
        <v>45689</v>
      </c>
      <c r="K29" s="9" t="str">
        <f>+IF(ManoObra[[#This Row],[Valor mensual base]]&gt;=$C$5,"ok","&lt;SMMLV")</f>
        <v>ok</v>
      </c>
    </row>
    <row r="30" spans="1:11" ht="14.5">
      <c r="A30" s="9">
        <v>18</v>
      </c>
      <c r="B30" s="9" t="s">
        <v>227</v>
      </c>
      <c r="C30" s="6" t="s">
        <v>194</v>
      </c>
      <c r="D30" s="32"/>
      <c r="E30" s="37">
        <f t="shared" si="0"/>
        <v>0</v>
      </c>
      <c r="F30" s="34">
        <f t="shared" si="1"/>
        <v>0</v>
      </c>
      <c r="G30" s="32">
        <f>+ManoObra[[#This Row],[Valor mensual base]]*(1+ManoObra[[#This Row],[Margen positivo]])</f>
        <v>0</v>
      </c>
      <c r="H30" s="33" t="e">
        <f t="shared" si="2"/>
        <v>#DIV/0!</v>
      </c>
      <c r="I30" s="35" t="s">
        <v>206</v>
      </c>
      <c r="J30" s="36">
        <f t="shared" si="3"/>
        <v>45689</v>
      </c>
      <c r="K30" s="9" t="str">
        <f>+IF(ManoObra[[#This Row],[Valor mensual base]]&gt;=$C$5,"ok","&lt;SMMLV")</f>
        <v>ok</v>
      </c>
    </row>
    <row r="31" spans="1:11" ht="14.5">
      <c r="A31" s="9">
        <v>19</v>
      </c>
      <c r="B31" s="6" t="s">
        <v>228</v>
      </c>
      <c r="C31" s="6" t="s">
        <v>194</v>
      </c>
      <c r="D31" s="32"/>
      <c r="E31" s="37">
        <f t="shared" si="0"/>
        <v>0</v>
      </c>
      <c r="F31" s="34">
        <f t="shared" si="1"/>
        <v>0</v>
      </c>
      <c r="G31" s="32">
        <f>+ManoObra[[#This Row],[Valor mensual base]]*(1+ManoObra[[#This Row],[Margen positivo]])</f>
        <v>0</v>
      </c>
      <c r="H31" s="33" t="e">
        <f t="shared" si="2"/>
        <v>#DIV/0!</v>
      </c>
      <c r="I31" s="35" t="s">
        <v>229</v>
      </c>
      <c r="J31" s="36">
        <f t="shared" si="3"/>
        <v>45689</v>
      </c>
      <c r="K31" s="9" t="str">
        <f>+IF(ManoObra[[#This Row],[Valor mensual base]]&gt;=$C$5,"ok","&lt;SMMLV")</f>
        <v>ok</v>
      </c>
    </row>
    <row r="32" spans="1:11" ht="14.5">
      <c r="A32" s="9">
        <v>21</v>
      </c>
      <c r="B32" s="6" t="s">
        <v>230</v>
      </c>
      <c r="C32" s="6" t="s">
        <v>231</v>
      </c>
      <c r="D32" s="32"/>
      <c r="E32" s="37">
        <f t="shared" si="0"/>
        <v>0</v>
      </c>
      <c r="F32" s="34">
        <f>$C$7</f>
        <v>0</v>
      </c>
      <c r="G32" s="32">
        <f>+ManoObra[[#This Row],[Valor mensual base]]*(1+ManoObra[[#This Row],[Margen positivo]])</f>
        <v>0</v>
      </c>
      <c r="H32" s="33" t="e">
        <f t="shared" si="2"/>
        <v>#DIV/0!</v>
      </c>
      <c r="I32" s="38" t="s">
        <v>232</v>
      </c>
      <c r="J32" s="36">
        <f t="shared" si="3"/>
        <v>45689</v>
      </c>
      <c r="K32" s="9" t="str">
        <f>+IF(ManoObra[[#This Row],[Valor mensual base]]&gt;=$C$5,"ok","&lt;SMMLV")</f>
        <v>ok</v>
      </c>
    </row>
    <row r="33" spans="1:11" ht="14.5">
      <c r="A33" s="9">
        <v>20</v>
      </c>
      <c r="B33" s="282" t="s">
        <v>233</v>
      </c>
      <c r="C33" s="282" t="s">
        <v>194</v>
      </c>
      <c r="D33" s="375"/>
      <c r="E33" s="283">
        <f t="shared" si="0"/>
        <v>0</v>
      </c>
      <c r="F33" s="284">
        <f>$C$7</f>
        <v>0</v>
      </c>
      <c r="G33" s="32">
        <f>+ManoObra[[#This Row],[Valor mensual base]]*(1+ManoObra[[#This Row],[Margen positivo]])</f>
        <v>0</v>
      </c>
      <c r="H33" s="33" t="e">
        <f t="shared" si="2"/>
        <v>#DIV/0!</v>
      </c>
      <c r="I33" s="35" t="s">
        <v>234</v>
      </c>
      <c r="J33" s="36">
        <f>+J31</f>
        <v>45689</v>
      </c>
      <c r="K33" s="9" t="str">
        <f>+IF(ManoObra[[#This Row],[Valor mensual base]]&gt;=$C$5,"ok","&lt;SMMLV")</f>
        <v>ok</v>
      </c>
    </row>
    <row r="34" spans="1:11">
      <c r="B34" s="39"/>
      <c r="C34" s="39"/>
      <c r="D34" s="45"/>
      <c r="E34" s="40"/>
      <c r="F34" s="41"/>
      <c r="G34" s="41"/>
      <c r="H34" s="42"/>
      <c r="I34" s="43"/>
      <c r="J34" s="44"/>
    </row>
    <row r="35" spans="1:11">
      <c r="B35" s="45"/>
      <c r="C35" s="45"/>
      <c r="D35" s="45"/>
      <c r="E35" s="45"/>
    </row>
    <row r="36" spans="1:11" ht="24" customHeight="1">
      <c r="B36" s="45"/>
      <c r="C36" s="45"/>
      <c r="D36" s="45"/>
      <c r="E36" s="45"/>
    </row>
    <row r="37" spans="1:11">
      <c r="A37" s="46"/>
      <c r="B37" s="307"/>
    </row>
    <row r="38" spans="1:11">
      <c r="B38" s="291" t="s">
        <v>24</v>
      </c>
    </row>
    <row r="39" spans="1:11" ht="19.899999999999999" customHeight="1">
      <c r="B39" s="26"/>
    </row>
  </sheetData>
  <mergeCells count="2">
    <mergeCell ref="A2:J2"/>
    <mergeCell ref="A11:J11"/>
  </mergeCells>
  <hyperlinks>
    <hyperlink ref="I13" r:id="rId1" xr:uid="{220B1286-25A1-4452-82A1-E7360EAC6772}"/>
    <hyperlink ref="I15" r:id="rId2" xr:uid="{94AEC46C-6717-406E-9E69-821A3A9B626F}"/>
    <hyperlink ref="I16" r:id="rId3" xr:uid="{809A1115-6F05-4840-BD3A-D87F85CD6928}"/>
    <hyperlink ref="I17" r:id="rId4" xr:uid="{9E292538-2AAD-4FC6-84A8-492745339798}"/>
    <hyperlink ref="I18" r:id="rId5" xr:uid="{9E2C2A9F-8D34-4114-86A2-231CA9AA826E}"/>
    <hyperlink ref="I19" r:id="rId6" xr:uid="{4B82A476-387A-4B36-BE74-1B8BE5182BCE}"/>
    <hyperlink ref="I20" r:id="rId7" xr:uid="{AFAEE47B-0256-4631-8B16-AF680174631D}"/>
    <hyperlink ref="I21" r:id="rId8" xr:uid="{DCCAEDA5-ADA1-49FC-8AF9-21D7A8A2D731}"/>
    <hyperlink ref="I22" r:id="rId9" xr:uid="{AA59B13B-E11D-491F-8A23-D24EF59918DF}"/>
    <hyperlink ref="I23" r:id="rId10" xr:uid="{E2BA2095-70D9-4C5E-BFBA-D91F24D29907}"/>
    <hyperlink ref="I24" r:id="rId11" xr:uid="{879F3233-7FB7-4368-BCE3-07B380BF93F6}"/>
    <hyperlink ref="I25" r:id="rId12" xr:uid="{35CCB2E8-6108-4443-97FD-145AFFC614A1}"/>
    <hyperlink ref="I26" r:id="rId13" xr:uid="{A3491396-4E2A-4113-98ED-F66721B2EF9C}"/>
    <hyperlink ref="I29" r:id="rId14" xr:uid="{6C8B66ED-0355-4982-8F82-2271FB89D0B2}"/>
    <hyperlink ref="I30" r:id="rId15" xr:uid="{31364BA4-A7A8-41BA-86F8-026C329A0E34}"/>
    <hyperlink ref="I31" r:id="rId16" xr:uid="{34B9851D-FA8B-4961-AE67-1B20A42F3100}"/>
    <hyperlink ref="I33" r:id="rId17" xr:uid="{A41DD575-BDBF-41A8-9F26-2DC317702A50}"/>
    <hyperlink ref="I14" r:id="rId18" xr:uid="{DC3F9941-1F60-4BA7-86F2-08CC069A2550}"/>
    <hyperlink ref="I32" r:id="rId19" xr:uid="{A4C44896-EB7D-47A3-8DBB-262E9477199B}"/>
  </hyperlinks>
  <pageMargins left="0.70866141732283472" right="0.70866141732283472" top="0.74803149606299213" bottom="0.74803149606299213" header="0.31496062992125984" footer="0.31496062992125984"/>
  <pageSetup paperSize="9" scale="56" orientation="landscape" r:id="rId20"/>
  <tableParts count="1">
    <tablePart r:id="rId2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7EF-B231-4BBD-8260-8C3CB46EF6BE}">
  <sheetPr>
    <tabColor theme="5" tint="0.79998168889431442"/>
    <pageSetUpPr fitToPage="1"/>
  </sheetPr>
  <dimension ref="A1:F7"/>
  <sheetViews>
    <sheetView view="pageBreakPreview" zoomScale="80" zoomScaleNormal="100" zoomScaleSheetLayoutView="80" workbookViewId="0">
      <selection activeCell="G216" sqref="G216"/>
    </sheetView>
  </sheetViews>
  <sheetFormatPr baseColWidth="10" defaultColWidth="11.453125" defaultRowHeight="12.5"/>
  <cols>
    <col min="1" max="1" width="15.1796875" customWidth="1"/>
    <col min="2" max="2" width="11.54296875" style="323"/>
    <col min="3" max="4" width="13.7265625" customWidth="1"/>
    <col min="5" max="5" width="17.54296875" customWidth="1"/>
    <col min="6" max="6" width="32" customWidth="1"/>
  </cols>
  <sheetData>
    <row r="1" spans="1:6">
      <c r="A1" s="173"/>
      <c r="B1" s="331"/>
      <c r="C1" s="575" t="s">
        <v>861</v>
      </c>
      <c r="D1" s="576"/>
      <c r="E1" s="577" t="s">
        <v>862</v>
      </c>
      <c r="F1" s="577"/>
    </row>
    <row r="2" spans="1:6">
      <c r="A2" s="173"/>
      <c r="B2" s="331"/>
      <c r="C2" s="179" t="s">
        <v>863</v>
      </c>
      <c r="D2" s="180" t="s">
        <v>864</v>
      </c>
      <c r="E2" s="179" t="s">
        <v>865</v>
      </c>
      <c r="F2" s="179" t="s">
        <v>22</v>
      </c>
    </row>
    <row r="3" spans="1:6" ht="13">
      <c r="A3" s="182" t="s">
        <v>866</v>
      </c>
      <c r="B3" s="332" t="s">
        <v>867</v>
      </c>
      <c r="C3" s="174">
        <f>3*'PRES. SISFV'!D6</f>
        <v>1104</v>
      </c>
      <c r="D3" s="175">
        <f>+C3</f>
        <v>1104</v>
      </c>
      <c r="E3" s="176">
        <f>+'1.2'!F8</f>
        <v>0</v>
      </c>
      <c r="F3" s="177">
        <f>+D3*E3</f>
        <v>0</v>
      </c>
    </row>
    <row r="4" spans="1:6" ht="13">
      <c r="A4" s="182" t="s">
        <v>868</v>
      </c>
      <c r="B4" s="332" t="s">
        <v>869</v>
      </c>
      <c r="C4" s="178">
        <f>+'PRES. SISFV'!D6</f>
        <v>368</v>
      </c>
      <c r="D4" s="175">
        <f t="shared" ref="D4:D6" si="0">+C4</f>
        <v>368</v>
      </c>
      <c r="E4" s="176">
        <f>+'1.6'!F8</f>
        <v>0</v>
      </c>
      <c r="F4" s="177">
        <f>+D4*E4</f>
        <v>0</v>
      </c>
    </row>
    <row r="5" spans="1:6" ht="13">
      <c r="A5" s="182" t="s">
        <v>870</v>
      </c>
      <c r="B5" s="332"/>
      <c r="C5" s="178">
        <f>+'PRES. SISFV'!D6</f>
        <v>368</v>
      </c>
      <c r="D5" s="175">
        <f t="shared" si="0"/>
        <v>368</v>
      </c>
      <c r="E5" s="176">
        <f>+'1.5'!F8</f>
        <v>0</v>
      </c>
      <c r="F5" s="177">
        <f>+D5*E5</f>
        <v>0</v>
      </c>
    </row>
    <row r="6" spans="1:6" ht="13">
      <c r="A6" s="182" t="s">
        <v>65</v>
      </c>
      <c r="B6" s="332"/>
      <c r="C6" s="178">
        <f>+'PRES. SISFV'!D6</f>
        <v>368</v>
      </c>
      <c r="D6" s="175">
        <f t="shared" si="0"/>
        <v>368</v>
      </c>
      <c r="E6" s="176">
        <f>+'1.7'!F8</f>
        <v>0</v>
      </c>
      <c r="F6" s="177">
        <f>+D6*E6</f>
        <v>0</v>
      </c>
    </row>
    <row r="7" spans="1:6" ht="13">
      <c r="F7" s="181">
        <f>SUM(F3:F6)</f>
        <v>0</v>
      </c>
    </row>
  </sheetData>
  <mergeCells count="2">
    <mergeCell ref="C1:D1"/>
    <mergeCell ref="E1:F1"/>
  </mergeCells>
  <phoneticPr fontId="28" type="noConversion"/>
  <pageMargins left="0.70866141732283472" right="0.70866141732283472" top="0.74803149606299213" bottom="0.74803149606299213" header="0.31496062992125984" footer="0.31496062992125984"/>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59BA-0A3D-44D1-9209-AE0BF8E3F2B9}">
  <sheetPr>
    <pageSetUpPr fitToPage="1"/>
  </sheetPr>
  <dimension ref="A1:Q51"/>
  <sheetViews>
    <sheetView showGridLines="0" view="pageBreakPreview" zoomScale="55" zoomScaleNormal="80" zoomScaleSheetLayoutView="55" workbookViewId="0">
      <selection activeCell="A37" sqref="A37:XFD37"/>
    </sheetView>
  </sheetViews>
  <sheetFormatPr baseColWidth="10" defaultColWidth="14.453125" defaultRowHeight="19.899999999999999" customHeight="1"/>
  <cols>
    <col min="1" max="1" width="8.453125" style="183" customWidth="1"/>
    <col min="2" max="2" width="93.7265625" style="183" customWidth="1"/>
    <col min="3" max="3" width="11.7265625" style="183" customWidth="1"/>
    <col min="4" max="4" width="15.26953125" style="183" customWidth="1"/>
    <col min="5" max="5" width="25.81640625" style="183" customWidth="1"/>
    <col min="6" max="15" width="22.26953125" style="183" customWidth="1"/>
    <col min="16" max="16" width="21.81640625" style="183" customWidth="1"/>
    <col min="17" max="17" width="16.81640625" style="183" bestFit="1" customWidth="1"/>
    <col min="18" max="16384" width="14.453125" style="183"/>
  </cols>
  <sheetData>
    <row r="1" spans="1:17" ht="19.899999999999999" customHeight="1">
      <c r="A1" s="584" t="str">
        <f>+'PRES. SISFV'!A1</f>
        <v xml:space="preserve">IMPLEMENTACIÓN DE SOLUCIONES ENERGÉTICAS SOSTENIBLES CON FUENTES NO CONVENCIONALES, PARA LAS COMUNIDADES RURALES DEL MUNICIPIO DE PIVIJAY, DEPARTAMENTO MAGDALENA.                                                                                                                                                                                                                          </v>
      </c>
      <c r="B1" s="585"/>
      <c r="C1" s="585"/>
      <c r="D1" s="585"/>
      <c r="E1" s="585"/>
      <c r="F1" s="585"/>
      <c r="G1" s="585"/>
      <c r="H1" s="585"/>
      <c r="I1" s="585"/>
      <c r="J1" s="585"/>
      <c r="K1" s="585"/>
      <c r="L1" s="585"/>
      <c r="M1" s="585"/>
      <c r="N1" s="585"/>
      <c r="O1" s="585"/>
    </row>
    <row r="2" spans="1:17" ht="19.899999999999999" customHeight="1" thickBot="1">
      <c r="A2" s="586" t="s">
        <v>871</v>
      </c>
      <c r="B2" s="587"/>
      <c r="C2" s="587"/>
      <c r="D2" s="587"/>
      <c r="E2" s="587"/>
      <c r="F2" s="587"/>
      <c r="G2" s="587"/>
      <c r="H2" s="587"/>
      <c r="I2" s="587"/>
      <c r="J2" s="587"/>
      <c r="K2" s="587"/>
      <c r="L2" s="587"/>
      <c r="M2" s="587"/>
      <c r="N2" s="587"/>
      <c r="O2" s="587"/>
    </row>
    <row r="3" spans="1:17" s="185" customFormat="1" ht="31.9" customHeight="1" thickBot="1">
      <c r="A3" s="228" t="s">
        <v>366</v>
      </c>
      <c r="B3" s="229" t="s">
        <v>262</v>
      </c>
      <c r="C3" s="229" t="s">
        <v>96</v>
      </c>
      <c r="D3" s="229" t="s">
        <v>368</v>
      </c>
      <c r="E3" s="230" t="s">
        <v>872</v>
      </c>
      <c r="F3" s="184" t="s">
        <v>873</v>
      </c>
      <c r="G3" s="184" t="s">
        <v>874</v>
      </c>
      <c r="H3" s="184" t="s">
        <v>875</v>
      </c>
      <c r="I3" s="184" t="s">
        <v>876</v>
      </c>
      <c r="J3" s="184" t="s">
        <v>877</v>
      </c>
      <c r="K3" s="184" t="s">
        <v>878</v>
      </c>
      <c r="L3" s="184" t="s">
        <v>879</v>
      </c>
      <c r="M3" s="184" t="s">
        <v>880</v>
      </c>
      <c r="N3" s="184" t="s">
        <v>881</v>
      </c>
      <c r="O3" s="184" t="s">
        <v>882</v>
      </c>
    </row>
    <row r="4" spans="1:17" ht="27.65" customHeight="1">
      <c r="A4" s="214" t="s">
        <v>883</v>
      </c>
      <c r="B4" s="215" t="s">
        <v>884</v>
      </c>
      <c r="C4" s="216"/>
      <c r="D4" s="216"/>
      <c r="E4" s="217"/>
      <c r="F4" s="186" t="s">
        <v>885</v>
      </c>
      <c r="G4" s="186" t="s">
        <v>886</v>
      </c>
      <c r="H4" s="186" t="s">
        <v>887</v>
      </c>
      <c r="I4" s="186" t="s">
        <v>888</v>
      </c>
      <c r="J4" s="186" t="s">
        <v>889</v>
      </c>
      <c r="K4" s="186" t="s">
        <v>890</v>
      </c>
      <c r="L4" s="186" t="s">
        <v>891</v>
      </c>
      <c r="M4" s="186" t="s">
        <v>892</v>
      </c>
      <c r="N4" s="186" t="s">
        <v>893</v>
      </c>
      <c r="O4" s="186" t="s">
        <v>894</v>
      </c>
      <c r="P4" s="187"/>
    </row>
    <row r="5" spans="1:17" ht="27.65" customHeight="1">
      <c r="A5" s="188"/>
      <c r="B5" s="189" t="s">
        <v>895</v>
      </c>
      <c r="C5" s="190" t="s">
        <v>261</v>
      </c>
      <c r="D5" s="190">
        <v>30</v>
      </c>
      <c r="E5" s="222">
        <v>0</v>
      </c>
      <c r="F5" s="223"/>
      <c r="G5" s="222"/>
      <c r="H5" s="222"/>
      <c r="I5" s="222"/>
      <c r="J5" s="222"/>
      <c r="K5" s="222"/>
      <c r="L5" s="222"/>
      <c r="M5" s="222"/>
      <c r="N5" s="222"/>
      <c r="O5" s="224"/>
      <c r="P5" s="187"/>
    </row>
    <row r="6" spans="1:17" ht="27.65" customHeight="1">
      <c r="A6" s="188"/>
      <c r="B6" s="189" t="s">
        <v>896</v>
      </c>
      <c r="C6" s="190" t="s">
        <v>261</v>
      </c>
      <c r="D6" s="190">
        <v>30</v>
      </c>
      <c r="E6" s="222">
        <v>0</v>
      </c>
      <c r="F6" s="222"/>
      <c r="G6" s="223"/>
      <c r="H6" s="222"/>
      <c r="I6" s="222"/>
      <c r="J6" s="222"/>
      <c r="K6" s="222"/>
      <c r="L6" s="222"/>
      <c r="M6" s="222"/>
      <c r="N6" s="222"/>
      <c r="O6" s="224"/>
      <c r="P6" s="187"/>
    </row>
    <row r="7" spans="1:17" ht="27.65" customHeight="1" thickBot="1">
      <c r="A7" s="219"/>
      <c r="B7" s="202" t="s">
        <v>897</v>
      </c>
      <c r="C7" s="220" t="s">
        <v>261</v>
      </c>
      <c r="D7" s="220">
        <v>30</v>
      </c>
      <c r="E7" s="225">
        <v>0</v>
      </c>
      <c r="F7" s="225"/>
      <c r="G7" s="226"/>
      <c r="H7" s="225"/>
      <c r="I7" s="225"/>
      <c r="J7" s="225"/>
      <c r="K7" s="225"/>
      <c r="L7" s="225"/>
      <c r="M7" s="225"/>
      <c r="N7" s="225"/>
      <c r="O7" s="227"/>
      <c r="P7" s="187"/>
    </row>
    <row r="8" spans="1:17" ht="19.899999999999999" customHeight="1" thickBot="1">
      <c r="A8" s="191" t="s">
        <v>898</v>
      </c>
      <c r="B8" s="233" t="s">
        <v>899</v>
      </c>
      <c r="C8" s="192"/>
      <c r="D8" s="192"/>
      <c r="E8" s="193"/>
      <c r="F8" s="193"/>
      <c r="G8" s="193"/>
      <c r="H8" s="193"/>
      <c r="I8" s="193"/>
      <c r="J8" s="193"/>
      <c r="K8" s="193"/>
      <c r="L8" s="193"/>
      <c r="M8" s="193"/>
      <c r="N8" s="193"/>
      <c r="O8" s="234"/>
      <c r="P8" s="187"/>
    </row>
    <row r="9" spans="1:17" ht="19.899999999999999" customHeight="1" thickBot="1">
      <c r="A9" s="194">
        <v>1</v>
      </c>
      <c r="B9" s="235" t="str">
        <f>+'PRES. SISFV'!B5</f>
        <v>Realizar Replanteo de obra</v>
      </c>
      <c r="C9" s="236"/>
      <c r="D9" s="236"/>
      <c r="E9" s="236"/>
      <c r="F9" s="236"/>
      <c r="G9" s="236"/>
      <c r="H9" s="236"/>
      <c r="I9" s="237"/>
      <c r="J9" s="237"/>
      <c r="K9" s="237"/>
      <c r="L9" s="237"/>
      <c r="M9" s="237"/>
      <c r="N9" s="237"/>
      <c r="O9" s="238"/>
      <c r="P9" s="308">
        <f t="shared" ref="P9:P36" si="0">SUM(F9:O9)</f>
        <v>0</v>
      </c>
      <c r="Q9" s="204">
        <f t="shared" ref="Q9:Q36" si="1">+P9-E9</f>
        <v>0</v>
      </c>
    </row>
    <row r="10" spans="1:17" ht="19.899999999999999" customHeight="1" thickBot="1">
      <c r="A10" s="265" t="str">
        <f>+'PRES. SISFV'!A5</f>
        <v>1.1</v>
      </c>
      <c r="B10" s="266" t="str">
        <f>+'PRES. SISFV'!B5</f>
        <v>Realizar Replanteo de obra</v>
      </c>
      <c r="C10" s="267" t="str">
        <f>+'PRES. SISFV'!C5</f>
        <v>UN</v>
      </c>
      <c r="D10" s="267">
        <f>+'PRES. SISFV'!D5</f>
        <v>368</v>
      </c>
      <c r="E10" s="268" t="e">
        <f>+'PRES. SISFV'!P5</f>
        <v>#DIV/0!</v>
      </c>
      <c r="F10" s="269"/>
      <c r="G10" s="269"/>
      <c r="H10" s="271" t="e">
        <f>$E10</f>
        <v>#DIV/0!</v>
      </c>
      <c r="I10" s="270"/>
      <c r="J10" s="270"/>
      <c r="K10" s="270"/>
      <c r="L10" s="270"/>
      <c r="M10" s="270"/>
      <c r="N10" s="270"/>
      <c r="O10" s="390"/>
      <c r="P10" s="308" t="e">
        <f t="shared" si="0"/>
        <v>#DIV/0!</v>
      </c>
      <c r="Q10" s="204" t="e">
        <f t="shared" si="1"/>
        <v>#DIV/0!</v>
      </c>
    </row>
    <row r="11" spans="1:17" ht="19.899999999999999" customHeight="1" thickBot="1">
      <c r="A11" s="255"/>
      <c r="B11" s="264" t="s">
        <v>900</v>
      </c>
      <c r="C11" s="197"/>
      <c r="D11" s="197"/>
      <c r="E11" s="197"/>
      <c r="F11" s="197"/>
      <c r="G11" s="197"/>
      <c r="H11" s="197"/>
      <c r="I11" s="239"/>
      <c r="J11" s="239"/>
      <c r="K11" s="239"/>
      <c r="L11" s="239"/>
      <c r="M11" s="239"/>
      <c r="N11" s="239"/>
      <c r="O11" s="240"/>
      <c r="P11" s="308">
        <f t="shared" si="0"/>
        <v>0</v>
      </c>
      <c r="Q11" s="204">
        <f t="shared" si="1"/>
        <v>0</v>
      </c>
    </row>
    <row r="12" spans="1:17" ht="29.5" customHeight="1">
      <c r="A12" s="241"/>
      <c r="B12" s="257" t="s">
        <v>901</v>
      </c>
      <c r="C12" s="218"/>
      <c r="D12" s="218"/>
      <c r="E12" s="245">
        <f>+'Equipos importados'!$F$7*0.9</f>
        <v>0</v>
      </c>
      <c r="F12" s="244"/>
      <c r="G12" s="244"/>
      <c r="H12" s="258">
        <f>$E$12</f>
        <v>0</v>
      </c>
      <c r="I12" s="244"/>
      <c r="J12" s="244"/>
      <c r="K12" s="244"/>
      <c r="L12" s="244"/>
      <c r="M12" s="244"/>
      <c r="N12" s="244"/>
      <c r="O12" s="247"/>
      <c r="P12" s="308">
        <f t="shared" si="0"/>
        <v>0</v>
      </c>
      <c r="Q12" s="204">
        <f t="shared" si="1"/>
        <v>0</v>
      </c>
    </row>
    <row r="13" spans="1:17" ht="29.5" customHeight="1">
      <c r="A13" s="248"/>
      <c r="B13" s="259" t="s">
        <v>902</v>
      </c>
      <c r="C13" s="190"/>
      <c r="D13" s="190"/>
      <c r="E13" s="196">
        <f>+'Equipos importados'!$F$7*0.06</f>
        <v>0</v>
      </c>
      <c r="F13" s="249"/>
      <c r="G13" s="249"/>
      <c r="H13" s="249"/>
      <c r="I13" s="260">
        <f>+$E$13</f>
        <v>0</v>
      </c>
      <c r="J13" s="249"/>
      <c r="K13" s="249"/>
      <c r="L13" s="249"/>
      <c r="M13" s="249"/>
      <c r="N13" s="249"/>
      <c r="O13" s="251"/>
      <c r="P13" s="308">
        <f t="shared" si="0"/>
        <v>0</v>
      </c>
      <c r="Q13" s="204">
        <f t="shared" si="1"/>
        <v>0</v>
      </c>
    </row>
    <row r="14" spans="1:17" ht="29.5" customHeight="1" thickBot="1">
      <c r="A14" s="252"/>
      <c r="B14" s="261" t="s">
        <v>903</v>
      </c>
      <c r="C14" s="220"/>
      <c r="D14" s="220"/>
      <c r="E14" s="262">
        <f>+'Equipos importados'!$F$7*0.04</f>
        <v>0</v>
      </c>
      <c r="F14" s="253"/>
      <c r="G14" s="253"/>
      <c r="H14" s="253"/>
      <c r="I14" s="263">
        <f>+$E$14</f>
        <v>0</v>
      </c>
      <c r="J14" s="253"/>
      <c r="K14" s="253"/>
      <c r="L14" s="253"/>
      <c r="M14" s="253"/>
      <c r="N14" s="253"/>
      <c r="O14" s="254"/>
      <c r="P14" s="308">
        <f t="shared" si="0"/>
        <v>0</v>
      </c>
      <c r="Q14" s="204">
        <f t="shared" si="1"/>
        <v>0</v>
      </c>
    </row>
    <row r="15" spans="1:17" ht="19.899999999999999" customHeight="1" thickBot="1">
      <c r="A15" s="255">
        <v>2</v>
      </c>
      <c r="B15" s="256" t="s">
        <v>904</v>
      </c>
      <c r="C15" s="197"/>
      <c r="D15" s="197"/>
      <c r="E15" s="197"/>
      <c r="F15" s="197"/>
      <c r="G15" s="197"/>
      <c r="H15" s="197"/>
      <c r="I15" s="239"/>
      <c r="J15" s="239"/>
      <c r="K15" s="239"/>
      <c r="L15" s="239"/>
      <c r="M15" s="239"/>
      <c r="N15" s="239"/>
      <c r="O15" s="240"/>
      <c r="P15" s="308">
        <f t="shared" si="0"/>
        <v>0</v>
      </c>
      <c r="Q15" s="204">
        <f t="shared" si="1"/>
        <v>0</v>
      </c>
    </row>
    <row r="16" spans="1:17" ht="62.5">
      <c r="A16" s="241" t="str">
        <f>+'PRES. SISFV'!A6</f>
        <v>1.2</v>
      </c>
      <c r="B16" s="242" t="str">
        <f>+'PRES. SISFV'!B6</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16" s="218" t="str">
        <f>+'PRES. SISFV'!C6</f>
        <v>UN</v>
      </c>
      <c r="D16" s="218">
        <f>+'PRES. SISFV'!D6</f>
        <v>368</v>
      </c>
      <c r="E16" s="243" t="e">
        <f>+'PRES. SISFV'!P6-'Equipos importados'!F3</f>
        <v>#DIV/0!</v>
      </c>
      <c r="F16" s="244"/>
      <c r="G16" s="244"/>
      <c r="H16" s="244"/>
      <c r="I16" s="244"/>
      <c r="J16" s="246" t="e">
        <f>$E16/4</f>
        <v>#DIV/0!</v>
      </c>
      <c r="K16" s="246" t="e">
        <f t="shared" ref="K16:M26" si="2">$E16/4</f>
        <v>#DIV/0!</v>
      </c>
      <c r="L16" s="246" t="e">
        <f t="shared" si="2"/>
        <v>#DIV/0!</v>
      </c>
      <c r="M16" s="246" t="e">
        <f t="shared" si="2"/>
        <v>#DIV/0!</v>
      </c>
      <c r="N16" s="244"/>
      <c r="O16" s="247"/>
      <c r="P16" s="308" t="e">
        <f t="shared" si="0"/>
        <v>#DIV/0!</v>
      </c>
      <c r="Q16" s="204" t="e">
        <f t="shared" si="1"/>
        <v>#DIV/0!</v>
      </c>
    </row>
    <row r="17" spans="1:17" ht="79.150000000000006" customHeight="1">
      <c r="A17" s="248" t="str">
        <f>+'PRES. SISFV'!A7</f>
        <v>1.3</v>
      </c>
      <c r="B17" s="198" t="str">
        <f>+'PRES. SISFV'!B7</f>
        <v>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v>
      </c>
      <c r="C17" s="190" t="str">
        <f>+'PRES. SISFV'!C7</f>
        <v>UN</v>
      </c>
      <c r="D17" s="190">
        <f>+'PRES. SISFV'!D7</f>
        <v>368</v>
      </c>
      <c r="E17" s="195" t="e">
        <f>+'PRES. SISFV'!P7</f>
        <v>#DIV/0!</v>
      </c>
      <c r="F17" s="249"/>
      <c r="G17" s="249"/>
      <c r="H17" s="249"/>
      <c r="I17" s="249"/>
      <c r="J17" s="250" t="e">
        <f t="shared" ref="J17:J26" si="3">$E17/4</f>
        <v>#DIV/0!</v>
      </c>
      <c r="K17" s="250" t="e">
        <f t="shared" si="2"/>
        <v>#DIV/0!</v>
      </c>
      <c r="L17" s="250" t="e">
        <f t="shared" si="2"/>
        <v>#DIV/0!</v>
      </c>
      <c r="M17" s="250" t="e">
        <f t="shared" si="2"/>
        <v>#DIV/0!</v>
      </c>
      <c r="N17" s="249"/>
      <c r="O17" s="251"/>
      <c r="P17" s="308" t="e">
        <f t="shared" si="0"/>
        <v>#DIV/0!</v>
      </c>
      <c r="Q17" s="204" t="e">
        <f t="shared" si="1"/>
        <v>#DIV/0!</v>
      </c>
    </row>
    <row r="18" spans="1:17" ht="143.5" customHeight="1">
      <c r="A18" s="248" t="str">
        <f>+'PRES. SISFV'!A8</f>
        <v>1.4</v>
      </c>
      <c r="B18" s="198" t="str">
        <f>+'PRES. SISFV'!B8</f>
        <v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18" s="190" t="str">
        <f>+'PRES. SISFV'!C8</f>
        <v>UN</v>
      </c>
      <c r="D18" s="190">
        <f>+'PRES. SISFV'!D8</f>
        <v>368</v>
      </c>
      <c r="E18" s="195" t="e">
        <f>+'PRES. SISFV'!P8</f>
        <v>#DIV/0!</v>
      </c>
      <c r="F18" s="249"/>
      <c r="G18" s="249"/>
      <c r="H18" s="249"/>
      <c r="I18" s="249"/>
      <c r="J18" s="250" t="e">
        <f t="shared" si="3"/>
        <v>#DIV/0!</v>
      </c>
      <c r="K18" s="250" t="e">
        <f t="shared" si="2"/>
        <v>#DIV/0!</v>
      </c>
      <c r="L18" s="250" t="e">
        <f t="shared" si="2"/>
        <v>#DIV/0!</v>
      </c>
      <c r="M18" s="250" t="e">
        <f t="shared" si="2"/>
        <v>#DIV/0!</v>
      </c>
      <c r="N18" s="249"/>
      <c r="O18" s="251"/>
      <c r="P18" s="308" t="e">
        <f t="shared" si="0"/>
        <v>#DIV/0!</v>
      </c>
      <c r="Q18" s="204" t="e">
        <f t="shared" si="1"/>
        <v>#DIV/0!</v>
      </c>
    </row>
    <row r="19" spans="1:17" ht="55.9" customHeight="1">
      <c r="A19" s="248" t="str">
        <f>+'PRES. SISFV'!A9</f>
        <v>1.5</v>
      </c>
      <c r="B19" s="198" t="str">
        <f>+'PRES. SISFV'!B9</f>
        <v>Suministro e instalación de regulador (controlador) de carga, 50A/48V MPPT Solar, eficiencia mínima del 96%, debe ser apto para cargar baterías tipo LiFePO4. Con todas las protecciones eléctricas necesarias en caso de sobrecarga, cortocircuito, advertencia de alto voltaje</v>
      </c>
      <c r="C19" s="190" t="str">
        <f>+'PRES. SISFV'!C9</f>
        <v>UN</v>
      </c>
      <c r="D19" s="190">
        <f>+'PRES. SISFV'!D9</f>
        <v>368</v>
      </c>
      <c r="E19" s="195" t="e">
        <f>+'PRES. SISFV'!P9-'Equipos importados'!F5</f>
        <v>#DIV/0!</v>
      </c>
      <c r="F19" s="249"/>
      <c r="G19" s="249"/>
      <c r="H19" s="249"/>
      <c r="I19" s="249"/>
      <c r="J19" s="250" t="e">
        <f t="shared" si="3"/>
        <v>#DIV/0!</v>
      </c>
      <c r="K19" s="250" t="e">
        <f t="shared" si="2"/>
        <v>#DIV/0!</v>
      </c>
      <c r="L19" s="250" t="e">
        <f t="shared" si="2"/>
        <v>#DIV/0!</v>
      </c>
      <c r="M19" s="250" t="e">
        <f t="shared" si="2"/>
        <v>#DIV/0!</v>
      </c>
      <c r="N19" s="249"/>
      <c r="O19" s="251"/>
      <c r="P19" s="308" t="e">
        <f t="shared" si="0"/>
        <v>#DIV/0!</v>
      </c>
      <c r="Q19" s="204" t="e">
        <f t="shared" si="1"/>
        <v>#DIV/0!</v>
      </c>
    </row>
    <row r="20" spans="1:17" ht="25">
      <c r="A20" s="248" t="str">
        <f>+'PRES. SISFV'!A10</f>
        <v>1.6</v>
      </c>
      <c r="B20" s="198" t="str">
        <f>+'PRES. SISFV'!B10</f>
        <v xml:space="preserve">Suministro e Instalación de batería de ión - litio tipo fosfato de hierro (LiFePO4) de ciclo profundo de 120 Ah – 51.2 VDC - ≥6000 ciclos hasta el 80% DOD, con BMS integrado </v>
      </c>
      <c r="C20" s="190" t="str">
        <f>+'PRES. SISFV'!C10</f>
        <v>UN</v>
      </c>
      <c r="D20" s="190">
        <f>+'PRES. SISFV'!D10</f>
        <v>368</v>
      </c>
      <c r="E20" s="195" t="e">
        <f>+'PRES. SISFV'!P10-'Equipos importados'!F4</f>
        <v>#DIV/0!</v>
      </c>
      <c r="F20" s="249"/>
      <c r="G20" s="249"/>
      <c r="H20" s="249"/>
      <c r="I20" s="249"/>
      <c r="J20" s="250" t="e">
        <f t="shared" si="3"/>
        <v>#DIV/0!</v>
      </c>
      <c r="K20" s="250" t="e">
        <f t="shared" si="2"/>
        <v>#DIV/0!</v>
      </c>
      <c r="L20" s="250" t="e">
        <f t="shared" si="2"/>
        <v>#DIV/0!</v>
      </c>
      <c r="M20" s="250" t="e">
        <f t="shared" si="2"/>
        <v>#DIV/0!</v>
      </c>
      <c r="N20" s="249"/>
      <c r="O20" s="251"/>
      <c r="P20" s="308" t="e">
        <f t="shared" si="0"/>
        <v>#DIV/0!</v>
      </c>
      <c r="Q20" s="204" t="e">
        <f t="shared" si="1"/>
        <v>#DIV/0!</v>
      </c>
    </row>
    <row r="21" spans="1:17" ht="37.5">
      <c r="A21" s="248" t="str">
        <f>+'PRES. SISFV'!A11</f>
        <v>1.7</v>
      </c>
      <c r="B21" s="198" t="str">
        <f>+'PRES. SISFV'!B11</f>
        <v>Suministro e instalación de inversor tipo "off-grid" onda senoidal pura, potencia de 2000 W, 48 VDC entrada - 120 VAC salida, f=60 Hz, debe garantizar protección y desconexión por bajo voltaje en la batería, protección contra sobrecarga</v>
      </c>
      <c r="C21" s="190" t="str">
        <f>+'PRES. SISFV'!C11</f>
        <v>UN</v>
      </c>
      <c r="D21" s="190">
        <f>+'PRES. SISFV'!D11</f>
        <v>368</v>
      </c>
      <c r="E21" s="195" t="e">
        <f>+'PRES. SISFV'!P11-'Equipos importados'!F6</f>
        <v>#DIV/0!</v>
      </c>
      <c r="F21" s="249"/>
      <c r="G21" s="249"/>
      <c r="H21" s="249"/>
      <c r="I21" s="249"/>
      <c r="J21" s="250" t="e">
        <f t="shared" si="3"/>
        <v>#DIV/0!</v>
      </c>
      <c r="K21" s="250" t="e">
        <f t="shared" si="2"/>
        <v>#DIV/0!</v>
      </c>
      <c r="L21" s="250" t="e">
        <f t="shared" si="2"/>
        <v>#DIV/0!</v>
      </c>
      <c r="M21" s="250" t="e">
        <f t="shared" si="2"/>
        <v>#DIV/0!</v>
      </c>
      <c r="N21" s="249"/>
      <c r="O21" s="251"/>
      <c r="P21" s="308" t="e">
        <f t="shared" si="0"/>
        <v>#DIV/0!</v>
      </c>
      <c r="Q21" s="204" t="e">
        <f t="shared" si="1"/>
        <v>#DIV/0!</v>
      </c>
    </row>
    <row r="22" spans="1:17" ht="49.15" customHeight="1">
      <c r="A22" s="248" t="str">
        <f>+'PRES. SISFV'!A12</f>
        <v>1.8</v>
      </c>
      <c r="B22" s="198" t="str">
        <f>+'PRES. SISFV'!B12</f>
        <v>Sistema de puesta a tierra con una varilla de cobre 5/8" x 2,4m, bajante en cable de cobre desnudo temple duro o verde Nº 6, con soldadura exotérmica y tratamiento de suelos, caja de inspección de 30 x 30 cm.</v>
      </c>
      <c r="C22" s="190" t="str">
        <f>+'PRES. SISFV'!C12</f>
        <v>UN</v>
      </c>
      <c r="D22" s="190">
        <f>+'PRES. SISFV'!D12</f>
        <v>368</v>
      </c>
      <c r="E22" s="195" t="e">
        <f>+'PRES. SISFV'!P12</f>
        <v>#DIV/0!</v>
      </c>
      <c r="F22" s="249"/>
      <c r="G22" s="249"/>
      <c r="H22" s="249"/>
      <c r="I22" s="249"/>
      <c r="J22" s="250" t="e">
        <f t="shared" si="3"/>
        <v>#DIV/0!</v>
      </c>
      <c r="K22" s="250" t="e">
        <f t="shared" si="2"/>
        <v>#DIV/0!</v>
      </c>
      <c r="L22" s="250" t="e">
        <f t="shared" si="2"/>
        <v>#DIV/0!</v>
      </c>
      <c r="M22" s="250" t="e">
        <f t="shared" si="2"/>
        <v>#DIV/0!</v>
      </c>
      <c r="N22" s="249"/>
      <c r="O22" s="251"/>
      <c r="P22" s="308" t="e">
        <f t="shared" si="0"/>
        <v>#DIV/0!</v>
      </c>
      <c r="Q22" s="204" t="e">
        <f t="shared" si="1"/>
        <v>#DIV/0!</v>
      </c>
    </row>
    <row r="23" spans="1:17" ht="49.15" customHeight="1">
      <c r="A23" s="248" t="str">
        <f>+'PRES. SISFV'!A14</f>
        <v>2.1</v>
      </c>
      <c r="B23" s="198" t="str">
        <f>+'PRES. SISFV'!B14</f>
        <v>Suministro e instalación de poste reforzado en fibra de vidrio de h=4m, 510kgf. contiene: tapa en la cima y base, soporte metálico galvanizado fijo para 3 paneles solares y cimentación en concreto según planos (incluye excavación).</v>
      </c>
      <c r="C23" s="190" t="str">
        <f>+'PRES. SISFV'!C14</f>
        <v>UN</v>
      </c>
      <c r="D23" s="190">
        <f>+'PRES. SISFV'!D14</f>
        <v>368</v>
      </c>
      <c r="E23" s="195" t="e">
        <f>+'PRES. SISFV'!P14</f>
        <v>#DIV/0!</v>
      </c>
      <c r="F23" s="249"/>
      <c r="G23" s="249"/>
      <c r="H23" s="249"/>
      <c r="I23" s="249"/>
      <c r="J23" s="250" t="e">
        <f t="shared" si="3"/>
        <v>#DIV/0!</v>
      </c>
      <c r="K23" s="250" t="e">
        <f t="shared" si="2"/>
        <v>#DIV/0!</v>
      </c>
      <c r="L23" s="250" t="e">
        <f t="shared" si="2"/>
        <v>#DIV/0!</v>
      </c>
      <c r="M23" s="250" t="e">
        <f t="shared" si="2"/>
        <v>#DIV/0!</v>
      </c>
      <c r="N23" s="249"/>
      <c r="O23" s="251"/>
      <c r="P23" s="308" t="e">
        <f t="shared" si="0"/>
        <v>#DIV/0!</v>
      </c>
      <c r="Q23" s="204" t="e">
        <f t="shared" si="1"/>
        <v>#DIV/0!</v>
      </c>
    </row>
    <row r="24" spans="1:17" ht="49.15" customHeight="1">
      <c r="A24" s="248" t="str">
        <f>+'PRES. SISFV'!A15</f>
        <v>2.2</v>
      </c>
      <c r="B24" s="198" t="str">
        <f>+'PRES. SISFV'!B15</f>
        <v>Excavación de zanja para acometida principal en zona verde, de 20 cm de ancho x 60 cm de profundidad y hasta 6 m de longitud. Se utilizará para relleno, el mismo material excavado.</v>
      </c>
      <c r="C24" s="190" t="str">
        <f>+'PRES. SISFV'!C15</f>
        <v>UN</v>
      </c>
      <c r="D24" s="190">
        <f>+'PRES. SISFV'!D15</f>
        <v>368</v>
      </c>
      <c r="E24" s="195" t="e">
        <f>+'PRES. SISFV'!P15</f>
        <v>#DIV/0!</v>
      </c>
      <c r="F24" s="249"/>
      <c r="G24" s="249"/>
      <c r="H24" s="249"/>
      <c r="I24" s="249"/>
      <c r="J24" s="250" t="e">
        <f t="shared" si="3"/>
        <v>#DIV/0!</v>
      </c>
      <c r="K24" s="250" t="e">
        <f t="shared" si="2"/>
        <v>#DIV/0!</v>
      </c>
      <c r="L24" s="250" t="e">
        <f t="shared" si="2"/>
        <v>#DIV/0!</v>
      </c>
      <c r="M24" s="250" t="e">
        <f t="shared" si="2"/>
        <v>#DIV/0!</v>
      </c>
      <c r="N24" s="249"/>
      <c r="O24" s="251"/>
      <c r="P24" s="308" t="e">
        <f t="shared" si="0"/>
        <v>#DIV/0!</v>
      </c>
      <c r="Q24" s="204" t="e">
        <f t="shared" si="1"/>
        <v>#DIV/0!</v>
      </c>
    </row>
    <row r="25" spans="1:17" ht="49.15" customHeight="1">
      <c r="A25" s="248" t="str">
        <f>+'PRES. SISFV'!A17</f>
        <v>3.1</v>
      </c>
      <c r="B25" s="198" t="str">
        <f>+'PRES. SISFV'!B17</f>
        <v>Suministro e instalación de Medidor prepago monofásico bifilar 5 (80) A, 120 V, calibrado. Incluye sistema de  gestión de recaudo y equipos de comunicación standalone.</v>
      </c>
      <c r="C25" s="190" t="str">
        <f>+'PRES. SISFV'!C17</f>
        <v>UN</v>
      </c>
      <c r="D25" s="190">
        <f>+'PRES. SISFV'!D17</f>
        <v>368</v>
      </c>
      <c r="E25" s="195" t="e">
        <f>+'PRES. SISFV'!P17</f>
        <v>#DIV/0!</v>
      </c>
      <c r="F25" s="249"/>
      <c r="G25" s="249"/>
      <c r="H25" s="249"/>
      <c r="I25" s="249"/>
      <c r="J25" s="250" t="e">
        <f t="shared" si="3"/>
        <v>#DIV/0!</v>
      </c>
      <c r="K25" s="250" t="e">
        <f t="shared" si="2"/>
        <v>#DIV/0!</v>
      </c>
      <c r="L25" s="250" t="e">
        <f t="shared" si="2"/>
        <v>#DIV/0!</v>
      </c>
      <c r="M25" s="250" t="e">
        <f t="shared" si="2"/>
        <v>#DIV/0!</v>
      </c>
      <c r="N25" s="249"/>
      <c r="O25" s="251"/>
      <c r="P25" s="308" t="e">
        <f t="shared" si="0"/>
        <v>#DIV/0!</v>
      </c>
      <c r="Q25" s="204" t="e">
        <f t="shared" si="1"/>
        <v>#DIV/0!</v>
      </c>
    </row>
    <row r="26" spans="1:17" ht="47.5" customHeight="1">
      <c r="A26" s="248" t="str">
        <f>+'PRES. SISFV'!A19</f>
        <v>4.1</v>
      </c>
      <c r="B26" s="198" t="str">
        <f>+'PRES. SISFV'!B19</f>
        <v>Instalaciones Internas que incluyan 4 salidas de alumbrado y 4 tomacorrientes. Se considera implementación de hasta 20 metros de tubería EMT de 3/4" y hasta 80 mts de cable de cobre aislado THHN No. 12 AWG</v>
      </c>
      <c r="C26" s="190" t="str">
        <f>+'PRES. SISFV'!C19</f>
        <v>UN</v>
      </c>
      <c r="D26" s="190">
        <f>+'PRES. SISFV'!D19</f>
        <v>368</v>
      </c>
      <c r="E26" s="195" t="e">
        <f>+'PRES. SISFV'!P19</f>
        <v>#DIV/0!</v>
      </c>
      <c r="F26" s="249"/>
      <c r="G26" s="249"/>
      <c r="H26" s="249"/>
      <c r="I26" s="249"/>
      <c r="J26" s="250" t="e">
        <f t="shared" si="3"/>
        <v>#DIV/0!</v>
      </c>
      <c r="K26" s="250" t="e">
        <f t="shared" si="2"/>
        <v>#DIV/0!</v>
      </c>
      <c r="L26" s="250" t="e">
        <f t="shared" si="2"/>
        <v>#DIV/0!</v>
      </c>
      <c r="M26" s="250" t="e">
        <f t="shared" si="2"/>
        <v>#DIV/0!</v>
      </c>
      <c r="N26" s="249"/>
      <c r="O26" s="251"/>
      <c r="P26" s="308" t="e">
        <f t="shared" si="0"/>
        <v>#DIV/0!</v>
      </c>
      <c r="Q26" s="204" t="e">
        <f t="shared" si="1"/>
        <v>#DIV/0!</v>
      </c>
    </row>
    <row r="27" spans="1:17" ht="19.899999999999999" customHeight="1" thickBot="1">
      <c r="A27" s="255" t="s">
        <v>905</v>
      </c>
      <c r="B27" s="256" t="s">
        <v>906</v>
      </c>
      <c r="C27" s="197"/>
      <c r="D27" s="197"/>
      <c r="E27" s="197"/>
      <c r="F27" s="197"/>
      <c r="G27" s="197"/>
      <c r="H27" s="197"/>
      <c r="I27" s="239"/>
      <c r="J27" s="239"/>
      <c r="K27" s="239"/>
      <c r="L27" s="239"/>
      <c r="M27" s="239"/>
      <c r="N27" s="239"/>
      <c r="O27" s="240"/>
      <c r="P27" s="308">
        <f t="shared" si="0"/>
        <v>0</v>
      </c>
      <c r="Q27" s="204">
        <f t="shared" si="1"/>
        <v>0</v>
      </c>
    </row>
    <row r="28" spans="1:17" ht="27" customHeight="1">
      <c r="A28" s="272"/>
      <c r="B28" s="199" t="s">
        <v>907</v>
      </c>
      <c r="C28" s="221" t="s">
        <v>261</v>
      </c>
      <c r="D28" s="273">
        <v>30</v>
      </c>
      <c r="E28" s="244"/>
      <c r="F28" s="221"/>
      <c r="G28" s="221"/>
      <c r="H28" s="221"/>
      <c r="I28" s="244"/>
      <c r="J28" s="244"/>
      <c r="K28" s="244"/>
      <c r="L28" s="244"/>
      <c r="M28" s="244"/>
      <c r="N28" s="274"/>
      <c r="O28" s="247"/>
      <c r="P28" s="308">
        <f t="shared" si="0"/>
        <v>0</v>
      </c>
      <c r="Q28" s="204">
        <f t="shared" si="1"/>
        <v>0</v>
      </c>
    </row>
    <row r="29" spans="1:17" ht="27" customHeight="1">
      <c r="A29" s="200"/>
      <c r="B29" s="189" t="s">
        <v>908</v>
      </c>
      <c r="C29" s="222" t="s">
        <v>261</v>
      </c>
      <c r="D29" s="275">
        <v>30</v>
      </c>
      <c r="E29" s="249"/>
      <c r="F29" s="222"/>
      <c r="G29" s="222"/>
      <c r="H29" s="222"/>
      <c r="I29" s="249"/>
      <c r="J29" s="249"/>
      <c r="K29" s="249"/>
      <c r="L29" s="249"/>
      <c r="M29" s="249"/>
      <c r="N29" s="276"/>
      <c r="O29" s="251"/>
      <c r="P29" s="308">
        <f t="shared" si="0"/>
        <v>0</v>
      </c>
      <c r="Q29" s="204">
        <f t="shared" si="1"/>
        <v>0</v>
      </c>
    </row>
    <row r="30" spans="1:17" ht="27" customHeight="1">
      <c r="A30" s="200"/>
      <c r="B30" s="189" t="s">
        <v>909</v>
      </c>
      <c r="C30" s="222" t="s">
        <v>261</v>
      </c>
      <c r="D30" s="275">
        <v>30</v>
      </c>
      <c r="E30" s="249"/>
      <c r="F30" s="222"/>
      <c r="G30" s="222"/>
      <c r="H30" s="222"/>
      <c r="I30" s="249"/>
      <c r="J30" s="249"/>
      <c r="K30" s="249"/>
      <c r="L30" s="249"/>
      <c r="M30" s="249"/>
      <c r="N30" s="249"/>
      <c r="O30" s="391"/>
      <c r="P30" s="308">
        <f t="shared" si="0"/>
        <v>0</v>
      </c>
      <c r="Q30" s="204">
        <f t="shared" si="1"/>
        <v>0</v>
      </c>
    </row>
    <row r="31" spans="1:17" ht="27" customHeight="1" thickBot="1">
      <c r="A31" s="201"/>
      <c r="B31" s="202" t="s">
        <v>910</v>
      </c>
      <c r="C31" s="225" t="s">
        <v>261</v>
      </c>
      <c r="D31" s="277">
        <v>30</v>
      </c>
      <c r="E31" s="253"/>
      <c r="F31" s="225"/>
      <c r="G31" s="225"/>
      <c r="H31" s="225"/>
      <c r="I31" s="253"/>
      <c r="J31" s="253"/>
      <c r="K31" s="253"/>
      <c r="L31" s="253"/>
      <c r="M31" s="253"/>
      <c r="N31" s="253"/>
      <c r="O31" s="391"/>
      <c r="P31" s="308">
        <f t="shared" si="0"/>
        <v>0</v>
      </c>
      <c r="Q31" s="204">
        <f t="shared" si="1"/>
        <v>0</v>
      </c>
    </row>
    <row r="32" spans="1:17" ht="19.899999999999999" customHeight="1">
      <c r="A32" s="588" t="str">
        <f>+'PRES. SISFV'!A20</f>
        <v>TOTAL COSTOS DIRECTOS</v>
      </c>
      <c r="B32" s="589"/>
      <c r="C32" s="589"/>
      <c r="D32" s="589"/>
      <c r="E32" s="203" t="e">
        <f>+'PRES. SISFV'!P20</f>
        <v>#DIV/0!</v>
      </c>
      <c r="F32" s="279"/>
      <c r="G32" s="279"/>
      <c r="H32" s="278" t="e">
        <f t="shared" ref="H32:M32" si="4">SUM(H5:H31)</f>
        <v>#DIV/0!</v>
      </c>
      <c r="I32" s="278">
        <f t="shared" si="4"/>
        <v>0</v>
      </c>
      <c r="J32" s="278" t="e">
        <f t="shared" si="4"/>
        <v>#DIV/0!</v>
      </c>
      <c r="K32" s="278" t="e">
        <f t="shared" si="4"/>
        <v>#DIV/0!</v>
      </c>
      <c r="L32" s="278" t="e">
        <f t="shared" si="4"/>
        <v>#DIV/0!</v>
      </c>
      <c r="M32" s="278" t="e">
        <f t="shared" si="4"/>
        <v>#DIV/0!</v>
      </c>
      <c r="N32" s="278"/>
      <c r="O32" s="392"/>
      <c r="P32" s="308" t="e">
        <f t="shared" si="0"/>
        <v>#DIV/0!</v>
      </c>
      <c r="Q32" s="204" t="e">
        <f t="shared" si="1"/>
        <v>#DIV/0!</v>
      </c>
    </row>
    <row r="33" spans="1:17" ht="19.899999999999999" customHeight="1">
      <c r="A33" s="582" t="str">
        <f>+'PRES. SISFV'!A25</f>
        <v>TOTAL COSTOS INDIRECTOS (AIU)</v>
      </c>
      <c r="B33" s="579"/>
      <c r="C33" s="579"/>
      <c r="D33" s="579"/>
      <c r="E33" s="205" t="e">
        <f>+'PRES. SISFV'!P25</f>
        <v>#DIV/0!</v>
      </c>
      <c r="F33" s="281"/>
      <c r="G33" s="281"/>
      <c r="H33" s="205" t="e">
        <f>+H32*'PRES. SISFV'!$J$25</f>
        <v>#DIV/0!</v>
      </c>
      <c r="I33" s="205">
        <f>+I32*'PRES. SISFV'!$J$25</f>
        <v>0</v>
      </c>
      <c r="J33" s="205" t="e">
        <f>+J32*'PRES. SISFV'!$J$25</f>
        <v>#DIV/0!</v>
      </c>
      <c r="K33" s="205" t="e">
        <f>+K32*'PRES. SISFV'!$J$25</f>
        <v>#DIV/0!</v>
      </c>
      <c r="L33" s="205" t="e">
        <f>+L32*'PRES. SISFV'!$J$25</f>
        <v>#DIV/0!</v>
      </c>
      <c r="M33" s="205" t="e">
        <f>+M32*'PRES. SISFV'!$J$25</f>
        <v>#DIV/0!</v>
      </c>
      <c r="N33" s="205"/>
      <c r="O33" s="231"/>
      <c r="P33" s="308" t="e">
        <f t="shared" si="0"/>
        <v>#DIV/0!</v>
      </c>
      <c r="Q33" s="204" t="e">
        <f t="shared" si="1"/>
        <v>#DIV/0!</v>
      </c>
    </row>
    <row r="34" spans="1:17" ht="19.899999999999999" customHeight="1">
      <c r="A34" s="582" t="str">
        <f>+'PRES. SISFV'!A26</f>
        <v>VALOR CONSTRUCCIÓN (COSTOS DIRECTOS +  COSTOS INDIRECTOS)</v>
      </c>
      <c r="B34" s="579"/>
      <c r="C34" s="579"/>
      <c r="D34" s="579"/>
      <c r="E34" s="205" t="e">
        <f>+'PRES. SISFV'!P26</f>
        <v>#DIV/0!</v>
      </c>
      <c r="F34" s="281"/>
      <c r="G34" s="281"/>
      <c r="H34" s="280" t="e">
        <f t="shared" ref="H34:M34" si="5">+H33+H32</f>
        <v>#DIV/0!</v>
      </c>
      <c r="I34" s="280">
        <f t="shared" si="5"/>
        <v>0</v>
      </c>
      <c r="J34" s="280" t="e">
        <f t="shared" si="5"/>
        <v>#DIV/0!</v>
      </c>
      <c r="K34" s="280" t="e">
        <f t="shared" si="5"/>
        <v>#DIV/0!</v>
      </c>
      <c r="L34" s="280" t="e">
        <f t="shared" si="5"/>
        <v>#DIV/0!</v>
      </c>
      <c r="M34" s="280" t="e">
        <f t="shared" si="5"/>
        <v>#DIV/0!</v>
      </c>
      <c r="N34" s="280"/>
      <c r="O34" s="393"/>
      <c r="P34" s="308" t="e">
        <f t="shared" si="0"/>
        <v>#DIV/0!</v>
      </c>
      <c r="Q34" s="204" t="e">
        <f t="shared" si="1"/>
        <v>#DIV/0!</v>
      </c>
    </row>
    <row r="35" spans="1:17" ht="19.899999999999999" customHeight="1">
      <c r="A35" s="582" t="str">
        <f>+'PRES. SISFV'!A27</f>
        <v>REALIZAR GESTION SOCIAL (% CON RESPECTO A LOS COSTOS DIRECTOS)</v>
      </c>
      <c r="B35" s="579"/>
      <c r="C35" s="579"/>
      <c r="D35" s="579"/>
      <c r="E35" s="205">
        <f>+'PRES. SISFV'!P27</f>
        <v>0</v>
      </c>
      <c r="F35" s="281"/>
      <c r="G35" s="281"/>
      <c r="H35" s="281">
        <f>+$E35/5</f>
        <v>0</v>
      </c>
      <c r="I35" s="281"/>
      <c r="J35" s="281">
        <f t="shared" ref="J35:M36" si="6">+$E35/5</f>
        <v>0</v>
      </c>
      <c r="K35" s="281">
        <f t="shared" si="6"/>
        <v>0</v>
      </c>
      <c r="L35" s="281">
        <f t="shared" si="6"/>
        <v>0</v>
      </c>
      <c r="M35" s="281">
        <f t="shared" si="6"/>
        <v>0</v>
      </c>
      <c r="N35" s="281"/>
      <c r="O35" s="350"/>
      <c r="P35" s="308">
        <f t="shared" si="0"/>
        <v>0</v>
      </c>
      <c r="Q35" s="204">
        <f t="shared" si="1"/>
        <v>0</v>
      </c>
    </row>
    <row r="36" spans="1:17" ht="19.899999999999999" customHeight="1">
      <c r="A36" s="582" t="str">
        <f>+'PRES. SISFV'!A28</f>
        <v>IMPLEMENTAR PLAN DE MANEJO AMBIENTAL (% CON RESPECTO A LOS COSTOS DIRECTOS)</v>
      </c>
      <c r="B36" s="579"/>
      <c r="C36" s="579"/>
      <c r="D36" s="579"/>
      <c r="E36" s="205" t="e">
        <f>+'PRES. SISFV'!P28</f>
        <v>#DIV/0!</v>
      </c>
      <c r="F36" s="281"/>
      <c r="G36" s="281"/>
      <c r="H36" s="281" t="e">
        <f>+$E36/5</f>
        <v>#DIV/0!</v>
      </c>
      <c r="I36" s="281"/>
      <c r="J36" s="281" t="e">
        <f t="shared" si="6"/>
        <v>#DIV/0!</v>
      </c>
      <c r="K36" s="281" t="e">
        <f t="shared" si="6"/>
        <v>#DIV/0!</v>
      </c>
      <c r="L36" s="281" t="e">
        <f t="shared" si="6"/>
        <v>#DIV/0!</v>
      </c>
      <c r="M36" s="281" t="e">
        <f t="shared" si="6"/>
        <v>#DIV/0!</v>
      </c>
      <c r="N36" s="281"/>
      <c r="O36" s="350"/>
      <c r="P36" s="308" t="e">
        <f t="shared" si="0"/>
        <v>#DIV/0!</v>
      </c>
      <c r="Q36" s="204" t="e">
        <f t="shared" si="1"/>
        <v>#DIV/0!</v>
      </c>
    </row>
    <row r="37" spans="1:17" ht="19.899999999999999" customHeight="1">
      <c r="A37" s="583" t="s">
        <v>911</v>
      </c>
      <c r="B37" s="579"/>
      <c r="C37" s="579"/>
      <c r="D37" s="579"/>
      <c r="E37" s="406" t="e">
        <f>+'PRES. SISFV'!#REF!</f>
        <v>#REF!</v>
      </c>
      <c r="F37" s="206" t="e">
        <f>SUM(#REF!)</f>
        <v>#REF!</v>
      </c>
      <c r="G37" s="206" t="e">
        <f>SUM(#REF!)</f>
        <v>#REF!</v>
      </c>
      <c r="H37" s="206" t="e">
        <f>SUM(#REF!)</f>
        <v>#REF!</v>
      </c>
      <c r="I37" s="206" t="e">
        <f>SUM(#REF!)</f>
        <v>#REF!</v>
      </c>
      <c r="J37" s="206" t="e">
        <f>SUM(#REF!)</f>
        <v>#REF!</v>
      </c>
      <c r="K37" s="206" t="e">
        <f>SUM(#REF!)</f>
        <v>#REF!</v>
      </c>
      <c r="L37" s="206" t="e">
        <f>SUM(#REF!)</f>
        <v>#REF!</v>
      </c>
      <c r="M37" s="206" t="e">
        <f>SUM(#REF!)</f>
        <v>#REF!</v>
      </c>
      <c r="N37" s="206" t="e">
        <f>SUM(#REF!)</f>
        <v>#REF!</v>
      </c>
      <c r="O37" s="353" t="e">
        <f>SUM(#REF!)</f>
        <v>#REF!</v>
      </c>
      <c r="P37" s="308"/>
      <c r="Q37" s="204"/>
    </row>
    <row r="38" spans="1:17" ht="19.899999999999999" customHeight="1">
      <c r="A38" s="578" t="s">
        <v>912</v>
      </c>
      <c r="B38" s="579"/>
      <c r="C38" s="579"/>
      <c r="D38" s="579"/>
      <c r="E38" s="207"/>
      <c r="F38" s="208" t="e">
        <f>+F37/$E$37</f>
        <v>#REF!</v>
      </c>
      <c r="G38" s="208" t="e">
        <f t="shared" ref="G38:O38" si="7">+G37/$E$37</f>
        <v>#REF!</v>
      </c>
      <c r="H38" s="208" t="e">
        <f t="shared" si="7"/>
        <v>#REF!</v>
      </c>
      <c r="I38" s="208" t="e">
        <f t="shared" si="7"/>
        <v>#REF!</v>
      </c>
      <c r="J38" s="208" t="e">
        <f t="shared" si="7"/>
        <v>#REF!</v>
      </c>
      <c r="K38" s="208" t="e">
        <f t="shared" si="7"/>
        <v>#REF!</v>
      </c>
      <c r="L38" s="208" t="e">
        <f t="shared" si="7"/>
        <v>#REF!</v>
      </c>
      <c r="M38" s="208" t="e">
        <f t="shared" si="7"/>
        <v>#REF!</v>
      </c>
      <c r="N38" s="208" t="e">
        <f t="shared" si="7"/>
        <v>#REF!</v>
      </c>
      <c r="O38" s="354" t="e">
        <f t="shared" si="7"/>
        <v>#REF!</v>
      </c>
      <c r="P38" s="187"/>
    </row>
    <row r="39" spans="1:17" ht="19.899999999999999" customHeight="1" thickBot="1">
      <c r="A39" s="580" t="s">
        <v>913</v>
      </c>
      <c r="B39" s="581"/>
      <c r="C39" s="581"/>
      <c r="D39" s="581"/>
      <c r="E39" s="232">
        <f t="shared" ref="E39" si="8">+E38+D39</f>
        <v>0</v>
      </c>
      <c r="F39" s="232" t="e">
        <f t="shared" ref="F39" si="9">+F38+E39</f>
        <v>#REF!</v>
      </c>
      <c r="G39" s="232" t="e">
        <f t="shared" ref="G39:O39" si="10">+G38+F39</f>
        <v>#REF!</v>
      </c>
      <c r="H39" s="232" t="e">
        <f t="shared" si="10"/>
        <v>#REF!</v>
      </c>
      <c r="I39" s="232" t="e">
        <f t="shared" si="10"/>
        <v>#REF!</v>
      </c>
      <c r="J39" s="232" t="e">
        <f t="shared" si="10"/>
        <v>#REF!</v>
      </c>
      <c r="K39" s="232" t="e">
        <f t="shared" si="10"/>
        <v>#REF!</v>
      </c>
      <c r="L39" s="232" t="e">
        <f t="shared" si="10"/>
        <v>#REF!</v>
      </c>
      <c r="M39" s="232" t="e">
        <f t="shared" si="10"/>
        <v>#REF!</v>
      </c>
      <c r="N39" s="232" t="e">
        <f t="shared" si="10"/>
        <v>#REF!</v>
      </c>
      <c r="O39" s="355" t="e">
        <f t="shared" si="10"/>
        <v>#REF!</v>
      </c>
      <c r="P39" s="187"/>
    </row>
    <row r="40" spans="1:17" ht="19.899999999999999" customHeight="1">
      <c r="A40" s="209"/>
      <c r="B40" s="210"/>
      <c r="C40" s="187"/>
      <c r="D40" s="187"/>
      <c r="E40" s="187"/>
      <c r="F40" s="187"/>
      <c r="G40" s="187"/>
      <c r="H40" s="187"/>
      <c r="I40" s="187"/>
      <c r="J40" s="187"/>
      <c r="K40" s="187"/>
      <c r="L40" s="187"/>
      <c r="M40" s="187"/>
      <c r="N40" s="187"/>
      <c r="O40" s="187"/>
      <c r="P40" s="187"/>
    </row>
    <row r="41" spans="1:17" ht="19.899999999999999" customHeight="1">
      <c r="A41" s="389"/>
      <c r="B41" s="210"/>
    </row>
    <row r="42" spans="1:17" ht="19.899999999999999" customHeight="1">
      <c r="A42" s="389"/>
      <c r="B42" s="211"/>
    </row>
    <row r="43" spans="1:17" ht="19.899999999999999" customHeight="1">
      <c r="A43" s="211"/>
      <c r="B43" s="211"/>
      <c r="P43" s="187"/>
    </row>
    <row r="44" spans="1:17" ht="19.899999999999999" customHeight="1">
      <c r="A44" s="211"/>
      <c r="B44" s="212"/>
      <c r="P44" s="187"/>
    </row>
    <row r="45" spans="1:17" ht="15.5">
      <c r="A45" s="211"/>
      <c r="B45" s="212"/>
      <c r="E45" s="204"/>
      <c r="P45" s="187"/>
    </row>
    <row r="46" spans="1:17" ht="19.899999999999999" customHeight="1">
      <c r="A46" s="213"/>
      <c r="B46" s="213"/>
      <c r="P46" s="187"/>
    </row>
    <row r="47" spans="1:17" ht="19.899999999999999" customHeight="1">
      <c r="P47" s="187"/>
    </row>
    <row r="48" spans="1:17" ht="19.899999999999999" customHeight="1">
      <c r="P48" s="187"/>
    </row>
    <row r="49" spans="16:16" ht="19.899999999999999" customHeight="1">
      <c r="P49" s="187"/>
    </row>
    <row r="50" spans="16:16" ht="19.899999999999999" customHeight="1">
      <c r="P50" s="187"/>
    </row>
    <row r="51" spans="16:16" ht="19.899999999999999" customHeight="1">
      <c r="P51" s="187"/>
    </row>
  </sheetData>
  <mergeCells count="10">
    <mergeCell ref="A35:D35"/>
    <mergeCell ref="A1:O1"/>
    <mergeCell ref="A2:O2"/>
    <mergeCell ref="A33:D33"/>
    <mergeCell ref="A32:D32"/>
    <mergeCell ref="A34:D34"/>
    <mergeCell ref="A38:D38"/>
    <mergeCell ref="A39:D39"/>
    <mergeCell ref="A36:D36"/>
    <mergeCell ref="A37:D37"/>
  </mergeCells>
  <phoneticPr fontId="28" type="noConversion"/>
  <printOptions horizontalCentered="1"/>
  <pageMargins left="0.31496062992125984" right="0.31496062992125984" top="0.74803149606299213" bottom="0.74803149606299213" header="0.31496062992125984" footer="0.31496062992125984"/>
  <pageSetup paperSize="66" scale="71" fitToWidth="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3953-D054-4949-A65B-F1B0E19DD38F}">
  <sheetPr>
    <tabColor theme="8" tint="0.59999389629810485"/>
    <pageSetUpPr fitToPage="1"/>
  </sheetPr>
  <dimension ref="A1:R43"/>
  <sheetViews>
    <sheetView tabSelected="1" view="pageBreakPreview" topLeftCell="A25" zoomScale="70" zoomScaleNormal="70" zoomScaleSheetLayoutView="70" workbookViewId="0">
      <selection activeCell="J21" sqref="J21:J25"/>
    </sheetView>
  </sheetViews>
  <sheetFormatPr baseColWidth="10" defaultColWidth="11.453125" defaultRowHeight="12.5"/>
  <cols>
    <col min="1" max="1" width="6.26953125" customWidth="1"/>
    <col min="2" max="2" width="61.81640625" customWidth="1"/>
    <col min="3" max="3" width="8.453125" customWidth="1"/>
    <col min="4" max="4" width="11" customWidth="1"/>
    <col min="5" max="15" width="19.26953125" customWidth="1"/>
    <col min="16" max="16" width="27.54296875" customWidth="1"/>
    <col min="17" max="17" width="22" customWidth="1"/>
    <col min="18" max="18" width="17.26953125" customWidth="1"/>
    <col min="19" max="19" width="15" bestFit="1" customWidth="1"/>
  </cols>
  <sheetData>
    <row r="1" spans="1:18" s="45" customFormat="1" ht="30" customHeight="1">
      <c r="A1" s="545" t="s">
        <v>393</v>
      </c>
      <c r="B1" s="546"/>
      <c r="C1" s="546"/>
      <c r="D1" s="546"/>
      <c r="E1" s="546"/>
      <c r="F1" s="546"/>
      <c r="G1" s="546"/>
      <c r="H1" s="546"/>
      <c r="I1" s="546"/>
      <c r="J1" s="546"/>
      <c r="K1" s="546"/>
      <c r="L1" s="546"/>
      <c r="M1" s="546"/>
      <c r="N1" s="546"/>
      <c r="O1" s="546"/>
      <c r="P1" s="547"/>
    </row>
    <row r="2" spans="1:18" s="47" customFormat="1" ht="15" customHeight="1">
      <c r="A2" s="548" t="s">
        <v>366</v>
      </c>
      <c r="B2" s="548" t="s">
        <v>367</v>
      </c>
      <c r="C2" s="548" t="s">
        <v>96</v>
      </c>
      <c r="D2" s="548" t="s">
        <v>368</v>
      </c>
      <c r="E2" s="549" t="s">
        <v>369</v>
      </c>
      <c r="F2" s="550"/>
      <c r="G2" s="550"/>
      <c r="H2" s="550"/>
      <c r="I2" s="550"/>
      <c r="J2" s="551"/>
      <c r="K2" s="552" t="s">
        <v>370</v>
      </c>
      <c r="L2" s="553"/>
      <c r="M2" s="553"/>
      <c r="N2" s="553"/>
      <c r="O2" s="553"/>
      <c r="P2" s="554"/>
    </row>
    <row r="3" spans="1:18" s="47" customFormat="1" ht="40.15" customHeight="1">
      <c r="A3" s="548"/>
      <c r="B3" s="548"/>
      <c r="C3" s="548"/>
      <c r="D3" s="548"/>
      <c r="E3" s="48" t="s">
        <v>265</v>
      </c>
      <c r="F3" s="48" t="s">
        <v>371</v>
      </c>
      <c r="G3" s="48" t="s">
        <v>372</v>
      </c>
      <c r="H3" s="48" t="s">
        <v>373</v>
      </c>
      <c r="I3" s="48" t="s">
        <v>374</v>
      </c>
      <c r="J3" s="49" t="s">
        <v>375</v>
      </c>
      <c r="K3" s="48" t="s">
        <v>265</v>
      </c>
      <c r="L3" s="48" t="s">
        <v>371</v>
      </c>
      <c r="M3" s="48" t="s">
        <v>372</v>
      </c>
      <c r="N3" s="48" t="s">
        <v>373</v>
      </c>
      <c r="O3" s="48" t="s">
        <v>374</v>
      </c>
      <c r="P3" s="49" t="s">
        <v>376</v>
      </c>
    </row>
    <row r="4" spans="1:18" s="39" customFormat="1" ht="30" customHeight="1">
      <c r="A4" s="50">
        <v>1</v>
      </c>
      <c r="B4" s="328" t="s">
        <v>377</v>
      </c>
      <c r="C4" s="329"/>
      <c r="D4" s="329"/>
      <c r="E4" s="329"/>
      <c r="F4" s="329"/>
      <c r="G4" s="329"/>
      <c r="H4" s="329"/>
      <c r="I4" s="329"/>
      <c r="J4" s="329"/>
      <c r="K4" s="329"/>
      <c r="L4" s="329"/>
      <c r="M4" s="329"/>
      <c r="N4" s="329"/>
      <c r="O4" s="329"/>
      <c r="P4" s="330"/>
    </row>
    <row r="5" spans="1:18" s="39" customFormat="1" ht="30" customHeight="1">
      <c r="A5" s="51" t="s">
        <v>394</v>
      </c>
      <c r="B5" s="52" t="s">
        <v>395</v>
      </c>
      <c r="C5" s="51" t="s">
        <v>101</v>
      </c>
      <c r="D5" s="53">
        <f>+Usuarios!C22</f>
        <v>368</v>
      </c>
      <c r="E5" s="54">
        <f>+'1.1'!F13</f>
        <v>0</v>
      </c>
      <c r="F5" s="54">
        <f>+'1.1'!F20</f>
        <v>0</v>
      </c>
      <c r="G5" s="54">
        <f>+'1.1'!F26</f>
        <v>0</v>
      </c>
      <c r="H5" s="54" t="e">
        <f>+'1.1'!F30</f>
        <v>#DIV/0!</v>
      </c>
      <c r="I5" s="54" t="e">
        <f>+'1.1'!F31</f>
        <v>#DIV/0!</v>
      </c>
      <c r="J5" s="54" t="e">
        <f>SUM(E5:I5)</f>
        <v>#DIV/0!</v>
      </c>
      <c r="K5" s="54">
        <f t="shared" ref="K5:K12" si="0">+$D5*E5</f>
        <v>0</v>
      </c>
      <c r="L5" s="54">
        <f>+$D5*F5</f>
        <v>0</v>
      </c>
      <c r="M5" s="54">
        <f>+$D5*G5</f>
        <v>0</v>
      </c>
      <c r="N5" s="54" t="e">
        <f t="shared" ref="N5:O5" si="1">+$D5*H5</f>
        <v>#DIV/0!</v>
      </c>
      <c r="O5" s="54" t="e">
        <f t="shared" si="1"/>
        <v>#DIV/0!</v>
      </c>
      <c r="P5" s="54" t="e">
        <f>ROUND(J5*D5,0)</f>
        <v>#DIV/0!</v>
      </c>
    </row>
    <row r="6" spans="1:18" s="39" customFormat="1" ht="118.15" customHeight="1">
      <c r="A6" s="51" t="s">
        <v>396</v>
      </c>
      <c r="B6" s="52" t="s">
        <v>397</v>
      </c>
      <c r="C6" s="51" t="s">
        <v>101</v>
      </c>
      <c r="D6" s="53">
        <f>+D5</f>
        <v>368</v>
      </c>
      <c r="E6" s="54">
        <f>+'1.2'!G14</f>
        <v>0</v>
      </c>
      <c r="F6" s="54">
        <f>+'1.2'!G21</f>
        <v>0</v>
      </c>
      <c r="G6" s="54">
        <f>+'1.2'!G28</f>
        <v>0</v>
      </c>
      <c r="H6" s="54" t="e">
        <f>+'1.2'!G32</f>
        <v>#DIV/0!</v>
      </c>
      <c r="I6" s="54" t="e">
        <f>+'1.2'!G33</f>
        <v>#DIV/0!</v>
      </c>
      <c r="J6" s="54" t="e">
        <f t="shared" ref="J6" si="2">SUM(E6:I6)</f>
        <v>#DIV/0!</v>
      </c>
      <c r="K6" s="54">
        <f t="shared" si="0"/>
        <v>0</v>
      </c>
      <c r="L6" s="54">
        <f t="shared" ref="L6:M7" si="3">+$D6*F6</f>
        <v>0</v>
      </c>
      <c r="M6" s="54">
        <f t="shared" si="3"/>
        <v>0</v>
      </c>
      <c r="N6" s="54" t="e">
        <f t="shared" ref="N6:N9" si="4">+$D6*H6</f>
        <v>#DIV/0!</v>
      </c>
      <c r="O6" s="54" t="e">
        <f t="shared" ref="O6:O9" si="5">+$D6*I6</f>
        <v>#DIV/0!</v>
      </c>
      <c r="P6" s="54" t="e">
        <f t="shared" ref="P6:P14" si="6">ROUND(J6*D6,0)</f>
        <v>#DIV/0!</v>
      </c>
    </row>
    <row r="7" spans="1:18" s="39" customFormat="1" ht="108.65" customHeight="1">
      <c r="A7" s="51" t="s">
        <v>398</v>
      </c>
      <c r="B7" s="52" t="s">
        <v>399</v>
      </c>
      <c r="C7" s="51" t="s">
        <v>101</v>
      </c>
      <c r="D7" s="53">
        <f>+D5</f>
        <v>368</v>
      </c>
      <c r="E7" s="54">
        <f>+'1.3'!G18</f>
        <v>0</v>
      </c>
      <c r="F7" s="54">
        <f>+'1.3'!G25</f>
        <v>0</v>
      </c>
      <c r="G7" s="54">
        <f>+'1.3'!G32</f>
        <v>0</v>
      </c>
      <c r="H7" s="54" t="e">
        <f>+'1.3'!G36</f>
        <v>#DIV/0!</v>
      </c>
      <c r="I7" s="54" t="e">
        <f>+'1.3'!G37</f>
        <v>#DIV/0!</v>
      </c>
      <c r="J7" s="54" t="e">
        <f t="shared" ref="J7" si="7">SUM(E7:I7)</f>
        <v>#DIV/0!</v>
      </c>
      <c r="K7" s="54">
        <f t="shared" si="0"/>
        <v>0</v>
      </c>
      <c r="L7" s="54">
        <f t="shared" ref="L7" si="8">+$D7*F7</f>
        <v>0</v>
      </c>
      <c r="M7" s="54">
        <f t="shared" si="3"/>
        <v>0</v>
      </c>
      <c r="N7" s="54" t="e">
        <f t="shared" si="4"/>
        <v>#DIV/0!</v>
      </c>
      <c r="O7" s="54" t="e">
        <f t="shared" si="5"/>
        <v>#DIV/0!</v>
      </c>
      <c r="P7" s="54" t="e">
        <f t="shared" ref="P7" si="9">ROUND(J7*D7,0)</f>
        <v>#DIV/0!</v>
      </c>
    </row>
    <row r="8" spans="1:18" s="39" customFormat="1" ht="218.5" customHeight="1">
      <c r="A8" s="51" t="s">
        <v>400</v>
      </c>
      <c r="B8" s="52" t="s">
        <v>401</v>
      </c>
      <c r="C8" s="51" t="s">
        <v>101</v>
      </c>
      <c r="D8" s="53">
        <f>+D5</f>
        <v>368</v>
      </c>
      <c r="E8" s="54">
        <f>+'1.4'!G25</f>
        <v>0</v>
      </c>
      <c r="F8" s="54">
        <f>+'1.4'!G32</f>
        <v>0</v>
      </c>
      <c r="G8" s="54">
        <f>+'1.4'!G39</f>
        <v>0</v>
      </c>
      <c r="H8" s="54" t="e">
        <f>+'1.4'!G43</f>
        <v>#DIV/0!</v>
      </c>
      <c r="I8" s="54" t="e">
        <f>+'1.4'!G44</f>
        <v>#DIV/0!</v>
      </c>
      <c r="J8" s="54" t="e">
        <f>SUM(E8:I8)</f>
        <v>#DIV/0!</v>
      </c>
      <c r="K8" s="54">
        <f t="shared" si="0"/>
        <v>0</v>
      </c>
      <c r="L8" s="54">
        <f>+$D8*F8</f>
        <v>0</v>
      </c>
      <c r="M8" s="54">
        <f>+$D8*G8</f>
        <v>0</v>
      </c>
      <c r="N8" s="54" t="e">
        <f t="shared" si="4"/>
        <v>#DIV/0!</v>
      </c>
      <c r="O8" s="54" t="e">
        <f t="shared" si="5"/>
        <v>#DIV/0!</v>
      </c>
      <c r="P8" s="54" t="e">
        <f>ROUND(J8*D8,0)</f>
        <v>#DIV/0!</v>
      </c>
    </row>
    <row r="9" spans="1:18" s="39" customFormat="1" ht="72" customHeight="1">
      <c r="A9" s="51" t="s">
        <v>402</v>
      </c>
      <c r="B9" s="52" t="s">
        <v>403</v>
      </c>
      <c r="C9" s="51" t="s">
        <v>101</v>
      </c>
      <c r="D9" s="53">
        <f>+D5</f>
        <v>368</v>
      </c>
      <c r="E9" s="54">
        <f>+'1.5'!G11</f>
        <v>0</v>
      </c>
      <c r="F9" s="54">
        <f>+'1.5'!G18</f>
        <v>0</v>
      </c>
      <c r="G9" s="54">
        <f>+'1.5'!G25</f>
        <v>0</v>
      </c>
      <c r="H9" s="54" t="e">
        <f>+'1.5'!G29</f>
        <v>#DIV/0!</v>
      </c>
      <c r="I9" s="54" t="e">
        <f>+'1.5'!G30</f>
        <v>#DIV/0!</v>
      </c>
      <c r="J9" s="54" t="e">
        <f>SUM(E9:I9)</f>
        <v>#DIV/0!</v>
      </c>
      <c r="K9" s="54">
        <f t="shared" si="0"/>
        <v>0</v>
      </c>
      <c r="L9" s="54">
        <f>+$D9*F9</f>
        <v>0</v>
      </c>
      <c r="M9" s="54">
        <f t="shared" ref="M9:M15" si="10">+$D9*G9</f>
        <v>0</v>
      </c>
      <c r="N9" s="54" t="e">
        <f t="shared" si="4"/>
        <v>#DIV/0!</v>
      </c>
      <c r="O9" s="54" t="e">
        <f t="shared" si="5"/>
        <v>#DIV/0!</v>
      </c>
      <c r="P9" s="54" t="e">
        <f>ROUND(J9*D9,0)</f>
        <v>#DIV/0!</v>
      </c>
    </row>
    <row r="10" spans="1:18" s="39" customFormat="1" ht="72" customHeight="1">
      <c r="A10" s="51" t="s">
        <v>404</v>
      </c>
      <c r="B10" s="52" t="s">
        <v>405</v>
      </c>
      <c r="C10" s="51" t="s">
        <v>101</v>
      </c>
      <c r="D10" s="53">
        <f>+D5</f>
        <v>368</v>
      </c>
      <c r="E10" s="54">
        <f>+'1.6'!G11</f>
        <v>0</v>
      </c>
      <c r="F10" s="54">
        <f>+'1.6'!G18</f>
        <v>0</v>
      </c>
      <c r="G10" s="54">
        <f>+'1.6'!G25</f>
        <v>0</v>
      </c>
      <c r="H10" s="54" t="e">
        <f>+'1.6'!G29</f>
        <v>#DIV/0!</v>
      </c>
      <c r="I10" s="54" t="e">
        <f>+'1.6'!G30</f>
        <v>#DIV/0!</v>
      </c>
      <c r="J10" s="54" t="e">
        <f>SUM(E10:I10)</f>
        <v>#DIV/0!</v>
      </c>
      <c r="K10" s="54">
        <f t="shared" si="0"/>
        <v>0</v>
      </c>
      <c r="L10" s="54">
        <f>+$D10*F10</f>
        <v>0</v>
      </c>
      <c r="M10" s="54">
        <f t="shared" si="10"/>
        <v>0</v>
      </c>
      <c r="N10" s="54" t="e">
        <f t="shared" ref="N10:N15" si="11">+$D10*H10</f>
        <v>#DIV/0!</v>
      </c>
      <c r="O10" s="54" t="e">
        <f t="shared" ref="O10:O15" si="12">+$D10*I10</f>
        <v>#DIV/0!</v>
      </c>
      <c r="P10" s="54" t="e">
        <f>ROUND(J10*D10,0)</f>
        <v>#DIV/0!</v>
      </c>
      <c r="R10" s="55"/>
    </row>
    <row r="11" spans="1:18" s="39" customFormat="1" ht="50">
      <c r="A11" s="51" t="s">
        <v>406</v>
      </c>
      <c r="B11" s="52" t="s">
        <v>407</v>
      </c>
      <c r="C11" s="51" t="s">
        <v>101</v>
      </c>
      <c r="D11" s="53">
        <f>+D5</f>
        <v>368</v>
      </c>
      <c r="E11" s="54">
        <f>+'1.7'!G11</f>
        <v>0</v>
      </c>
      <c r="F11" s="54">
        <f>+'1.7'!G18</f>
        <v>0</v>
      </c>
      <c r="G11" s="54">
        <f>+'1.7'!G25</f>
        <v>0</v>
      </c>
      <c r="H11" s="54" t="e">
        <f>+'1.7'!G29</f>
        <v>#DIV/0!</v>
      </c>
      <c r="I11" s="54" t="e">
        <f>+'1.7'!G30</f>
        <v>#DIV/0!</v>
      </c>
      <c r="J11" s="54" t="e">
        <f>SUM(E11:I11)</f>
        <v>#DIV/0!</v>
      </c>
      <c r="K11" s="54">
        <f t="shared" si="0"/>
        <v>0</v>
      </c>
      <c r="L11" s="54">
        <f>+$D11*F11</f>
        <v>0</v>
      </c>
      <c r="M11" s="54">
        <f t="shared" si="10"/>
        <v>0</v>
      </c>
      <c r="N11" s="54" t="e">
        <f t="shared" si="11"/>
        <v>#DIV/0!</v>
      </c>
      <c r="O11" s="54" t="e">
        <f t="shared" si="12"/>
        <v>#DIV/0!</v>
      </c>
      <c r="P11" s="54" t="e">
        <f>ROUND(J11*D11,0)</f>
        <v>#DIV/0!</v>
      </c>
      <c r="R11" s="55"/>
    </row>
    <row r="12" spans="1:18" s="39" customFormat="1" ht="58.15" customHeight="1">
      <c r="A12" s="51" t="s">
        <v>408</v>
      </c>
      <c r="B12" s="52" t="s">
        <v>409</v>
      </c>
      <c r="C12" s="51" t="s">
        <v>101</v>
      </c>
      <c r="D12" s="53">
        <f>+D5</f>
        <v>368</v>
      </c>
      <c r="E12" s="54">
        <f>+'1.8'!G14</f>
        <v>0</v>
      </c>
      <c r="F12" s="54">
        <f>+'1.8'!G21</f>
        <v>0</v>
      </c>
      <c r="G12" s="54">
        <f>+'1.8'!G28</f>
        <v>0</v>
      </c>
      <c r="H12" s="54" t="e">
        <f>+'1.8'!G32</f>
        <v>#DIV/0!</v>
      </c>
      <c r="I12" s="54" t="e">
        <f>+'1.8'!G33</f>
        <v>#DIV/0!</v>
      </c>
      <c r="J12" s="54" t="e">
        <f t="shared" ref="J12:J14" si="13">SUM(E12:I12)</f>
        <v>#DIV/0!</v>
      </c>
      <c r="K12" s="54">
        <f t="shared" si="0"/>
        <v>0</v>
      </c>
      <c r="L12" s="54">
        <f>+$D12*F12</f>
        <v>0</v>
      </c>
      <c r="M12" s="54">
        <f t="shared" si="10"/>
        <v>0</v>
      </c>
      <c r="N12" s="54" t="e">
        <f t="shared" si="11"/>
        <v>#DIV/0!</v>
      </c>
      <c r="O12" s="54" t="e">
        <f t="shared" si="12"/>
        <v>#DIV/0!</v>
      </c>
      <c r="P12" s="54" t="e">
        <f t="shared" ref="P12" si="14">ROUND(J12*D12,0)</f>
        <v>#DIV/0!</v>
      </c>
    </row>
    <row r="13" spans="1:18" s="39" customFormat="1" ht="21.65" customHeight="1">
      <c r="A13" s="50">
        <v>2</v>
      </c>
      <c r="B13" s="328" t="s">
        <v>410</v>
      </c>
      <c r="C13" s="329"/>
      <c r="D13" s="329"/>
      <c r="E13" s="329"/>
      <c r="F13" s="329"/>
      <c r="G13" s="329"/>
      <c r="H13" s="329"/>
      <c r="I13" s="329"/>
      <c r="J13" s="329"/>
      <c r="K13" s="329"/>
      <c r="L13" s="329"/>
      <c r="M13" s="329"/>
      <c r="N13" s="329"/>
      <c r="O13" s="329"/>
      <c r="P13" s="330"/>
      <c r="R13" s="55"/>
    </row>
    <row r="14" spans="1:18" s="39" customFormat="1" ht="56.5" customHeight="1">
      <c r="A14" s="51" t="s">
        <v>411</v>
      </c>
      <c r="B14" s="52" t="s">
        <v>412</v>
      </c>
      <c r="C14" s="51" t="s">
        <v>101</v>
      </c>
      <c r="D14" s="53">
        <f>+D5</f>
        <v>368</v>
      </c>
      <c r="E14" s="54">
        <f>+'2.1'!G28</f>
        <v>0</v>
      </c>
      <c r="F14" s="54">
        <f>+'2.1'!G35</f>
        <v>0</v>
      </c>
      <c r="G14" s="54">
        <f>+'2.1'!G42</f>
        <v>0</v>
      </c>
      <c r="H14" s="54" t="e">
        <f>+'2.1'!G46+'2.1'!G48</f>
        <v>#DIV/0!</v>
      </c>
      <c r="I14" s="54" t="e">
        <f>+'2.1'!G47</f>
        <v>#DIV/0!</v>
      </c>
      <c r="J14" s="54" t="e">
        <f t="shared" si="13"/>
        <v>#DIV/0!</v>
      </c>
      <c r="K14" s="54">
        <f t="shared" ref="K14" si="15">+$D14*E14</f>
        <v>0</v>
      </c>
      <c r="L14" s="54">
        <f t="shared" ref="L14" si="16">+$D14*F14</f>
        <v>0</v>
      </c>
      <c r="M14" s="54">
        <f t="shared" si="10"/>
        <v>0</v>
      </c>
      <c r="N14" s="54" t="e">
        <f t="shared" si="11"/>
        <v>#DIV/0!</v>
      </c>
      <c r="O14" s="54" t="e">
        <f t="shared" si="12"/>
        <v>#DIV/0!</v>
      </c>
      <c r="P14" s="54" t="e">
        <f t="shared" si="6"/>
        <v>#DIV/0!</v>
      </c>
    </row>
    <row r="15" spans="1:18" s="39" customFormat="1" ht="46.15" customHeight="1">
      <c r="A15" s="51" t="s">
        <v>413</v>
      </c>
      <c r="B15" s="166" t="s">
        <v>414</v>
      </c>
      <c r="C15" s="51" t="s">
        <v>101</v>
      </c>
      <c r="D15" s="53">
        <f>+D5</f>
        <v>368</v>
      </c>
      <c r="E15" s="54">
        <f>+'2.2'!G11</f>
        <v>0</v>
      </c>
      <c r="F15" s="54">
        <f>+'2.2'!G18</f>
        <v>0</v>
      </c>
      <c r="G15" s="54">
        <f>+'2.2'!G25</f>
        <v>0</v>
      </c>
      <c r="H15" s="54">
        <f>+'2.2'!G29</f>
        <v>0</v>
      </c>
      <c r="I15" s="54" t="e">
        <f>+'2.2'!G30</f>
        <v>#DIV/0!</v>
      </c>
      <c r="J15" s="54" t="e">
        <f t="shared" ref="J15" si="17">SUM(E15:I15)</f>
        <v>#DIV/0!</v>
      </c>
      <c r="K15" s="54">
        <f>+$D15*E15</f>
        <v>0</v>
      </c>
      <c r="L15" s="54">
        <f>+$D15*F15</f>
        <v>0</v>
      </c>
      <c r="M15" s="54">
        <f t="shared" si="10"/>
        <v>0</v>
      </c>
      <c r="N15" s="54">
        <f t="shared" si="11"/>
        <v>0</v>
      </c>
      <c r="O15" s="54" t="e">
        <f t="shared" si="12"/>
        <v>#DIV/0!</v>
      </c>
      <c r="P15" s="54" t="e">
        <f t="shared" ref="P15" si="18">ROUND(J15*D15,0)</f>
        <v>#DIV/0!</v>
      </c>
    </row>
    <row r="16" spans="1:18" s="39" customFormat="1" ht="37.15" customHeight="1">
      <c r="A16" s="50">
        <v>3</v>
      </c>
      <c r="B16" s="328" t="s">
        <v>415</v>
      </c>
      <c r="C16" s="329"/>
      <c r="D16" s="329"/>
      <c r="E16" s="329"/>
      <c r="F16" s="329"/>
      <c r="G16" s="329"/>
      <c r="H16" s="329"/>
      <c r="I16" s="329"/>
      <c r="J16" s="329"/>
      <c r="K16" s="329"/>
      <c r="L16" s="329"/>
      <c r="M16" s="329"/>
      <c r="N16" s="329"/>
      <c r="O16" s="329"/>
      <c r="P16" s="330"/>
    </row>
    <row r="17" spans="1:17" s="39" customFormat="1" ht="47.5" customHeight="1">
      <c r="A17" s="51" t="s">
        <v>416</v>
      </c>
      <c r="B17" s="52" t="s">
        <v>417</v>
      </c>
      <c r="C17" s="51" t="s">
        <v>101</v>
      </c>
      <c r="D17" s="53">
        <f>+D5</f>
        <v>368</v>
      </c>
      <c r="E17" s="54">
        <f>+'3.1'!G22</f>
        <v>0</v>
      </c>
      <c r="F17" s="54">
        <f>+'3.1'!G29</f>
        <v>0</v>
      </c>
      <c r="G17" s="54">
        <f>+'3.1'!G36</f>
        <v>0</v>
      </c>
      <c r="H17" s="54" t="e">
        <f>+'3.1'!G40</f>
        <v>#DIV/0!</v>
      </c>
      <c r="I17" s="54" t="e">
        <f>+'3.1'!G41</f>
        <v>#DIV/0!</v>
      </c>
      <c r="J17" s="54" t="e">
        <f t="shared" ref="J17" si="19">SUM(E17:I17)</f>
        <v>#DIV/0!</v>
      </c>
      <c r="K17" s="54">
        <f t="shared" ref="K17" si="20">+$D17*E17</f>
        <v>0</v>
      </c>
      <c r="L17" s="54">
        <f t="shared" ref="L17" si="21">+$D17*F17</f>
        <v>0</v>
      </c>
      <c r="M17" s="54">
        <f t="shared" ref="M17:M19" si="22">+$D17*G17</f>
        <v>0</v>
      </c>
      <c r="N17" s="54" t="e">
        <f t="shared" ref="N17:N19" si="23">+$D17*H17</f>
        <v>#DIV/0!</v>
      </c>
      <c r="O17" s="54" t="e">
        <f t="shared" ref="O17:O19" si="24">+$D17*I17</f>
        <v>#DIV/0!</v>
      </c>
      <c r="P17" s="54" t="e">
        <f t="shared" ref="P17" si="25">ROUND(J17*D17,0)</f>
        <v>#DIV/0!</v>
      </c>
    </row>
    <row r="18" spans="1:17" s="39" customFormat="1" ht="30" customHeight="1">
      <c r="A18" s="50">
        <v>4</v>
      </c>
      <c r="B18" s="328" t="s">
        <v>418</v>
      </c>
      <c r="C18" s="329"/>
      <c r="D18" s="329"/>
      <c r="E18" s="329"/>
      <c r="F18" s="329"/>
      <c r="G18" s="329"/>
      <c r="H18" s="329"/>
      <c r="I18" s="329"/>
      <c r="J18" s="329"/>
      <c r="K18" s="329"/>
      <c r="L18" s="329"/>
      <c r="M18" s="329"/>
      <c r="N18" s="329"/>
      <c r="O18" s="329"/>
      <c r="P18" s="330"/>
    </row>
    <row r="19" spans="1:17" s="39" customFormat="1" ht="56.5" customHeight="1">
      <c r="A19" s="51" t="s">
        <v>419</v>
      </c>
      <c r="B19" s="52" t="s">
        <v>420</v>
      </c>
      <c r="C19" s="51" t="s">
        <v>101</v>
      </c>
      <c r="D19" s="53">
        <f>+D5</f>
        <v>368</v>
      </c>
      <c r="E19" s="54">
        <f>+'4.1'!G25</f>
        <v>0</v>
      </c>
      <c r="F19" s="54">
        <f>+'4.1'!G32</f>
        <v>0</v>
      </c>
      <c r="G19" s="54">
        <f>+'4.1'!G39</f>
        <v>0</v>
      </c>
      <c r="H19" s="54" t="e">
        <f>+'4.1'!G43</f>
        <v>#DIV/0!</v>
      </c>
      <c r="I19" s="54" t="e">
        <f>+'4.1'!G44</f>
        <v>#DIV/0!</v>
      </c>
      <c r="J19" s="54" t="e">
        <f t="shared" ref="J19" si="26">SUM(E19:I19)</f>
        <v>#DIV/0!</v>
      </c>
      <c r="K19" s="54">
        <f t="shared" ref="K19" si="27">+$D19*E19</f>
        <v>0</v>
      </c>
      <c r="L19" s="54">
        <f t="shared" ref="L19" si="28">+$D19*F19</f>
        <v>0</v>
      </c>
      <c r="M19" s="54">
        <f t="shared" si="22"/>
        <v>0</v>
      </c>
      <c r="N19" s="54" t="e">
        <f t="shared" si="23"/>
        <v>#DIV/0!</v>
      </c>
      <c r="O19" s="54" t="e">
        <f t="shared" si="24"/>
        <v>#DIV/0!</v>
      </c>
      <c r="P19" s="54" t="e">
        <f t="shared" ref="P19" si="29">ROUND(J19*D19,0)</f>
        <v>#DIV/0!</v>
      </c>
    </row>
    <row r="20" spans="1:17" s="39" customFormat="1" ht="18" customHeight="1">
      <c r="A20" s="542" t="s">
        <v>421</v>
      </c>
      <c r="B20" s="543"/>
      <c r="C20" s="543"/>
      <c r="D20" s="543"/>
      <c r="E20" s="543"/>
      <c r="F20" s="543"/>
      <c r="G20" s="543"/>
      <c r="H20" s="543"/>
      <c r="I20" s="543"/>
      <c r="J20" s="544"/>
      <c r="K20" s="56">
        <f t="shared" ref="K20:P20" si="30">ROUND(SUM(K5:K19),0)</f>
        <v>0</v>
      </c>
      <c r="L20" s="56">
        <f t="shared" si="30"/>
        <v>0</v>
      </c>
      <c r="M20" s="56">
        <f t="shared" si="30"/>
        <v>0</v>
      </c>
      <c r="N20" s="56" t="e">
        <f t="shared" si="30"/>
        <v>#DIV/0!</v>
      </c>
      <c r="O20" s="56" t="e">
        <f t="shared" si="30"/>
        <v>#DIV/0!</v>
      </c>
      <c r="P20" s="56" t="e">
        <f t="shared" si="30"/>
        <v>#DIV/0!</v>
      </c>
    </row>
    <row r="21" spans="1:17" s="39" customFormat="1" ht="18" customHeight="1">
      <c r="A21" s="536" t="s">
        <v>379</v>
      </c>
      <c r="B21" s="537"/>
      <c r="C21" s="537"/>
      <c r="D21" s="537"/>
      <c r="E21" s="537"/>
      <c r="F21" s="537"/>
      <c r="G21" s="537"/>
      <c r="H21" s="537"/>
      <c r="I21" s="538"/>
      <c r="J21" s="593"/>
      <c r="K21" s="58"/>
      <c r="L21" s="58"/>
      <c r="M21" s="58"/>
      <c r="N21" s="58"/>
      <c r="O21" s="58"/>
      <c r="P21" s="58" t="e">
        <f>ROUND(J21*$P$20,0)</f>
        <v>#DIV/0!</v>
      </c>
      <c r="Q21" s="55"/>
    </row>
    <row r="22" spans="1:17" s="39" customFormat="1" ht="18" customHeight="1">
      <c r="A22" s="536" t="s">
        <v>380</v>
      </c>
      <c r="B22" s="537"/>
      <c r="C22" s="537"/>
      <c r="D22" s="537"/>
      <c r="E22" s="537"/>
      <c r="F22" s="537"/>
      <c r="G22" s="537"/>
      <c r="H22" s="537"/>
      <c r="I22" s="538"/>
      <c r="J22" s="593"/>
      <c r="K22" s="58"/>
      <c r="L22" s="58"/>
      <c r="M22" s="58"/>
      <c r="N22" s="58"/>
      <c r="O22" s="58"/>
      <c r="P22" s="58" t="e">
        <f t="shared" ref="P22:P23" si="31">ROUND(J22*$P$20,0)</f>
        <v>#DIV/0!</v>
      </c>
    </row>
    <row r="23" spans="1:17" s="39" customFormat="1" ht="18" customHeight="1">
      <c r="A23" s="536" t="s">
        <v>381</v>
      </c>
      <c r="B23" s="537"/>
      <c r="C23" s="537"/>
      <c r="D23" s="537"/>
      <c r="E23" s="537"/>
      <c r="F23" s="537"/>
      <c r="G23" s="537"/>
      <c r="H23" s="537"/>
      <c r="I23" s="538"/>
      <c r="J23" s="593"/>
      <c r="K23" s="58"/>
      <c r="L23" s="58"/>
      <c r="M23" s="58"/>
      <c r="N23" s="58"/>
      <c r="O23" s="58"/>
      <c r="P23" s="58" t="e">
        <f t="shared" si="31"/>
        <v>#DIV/0!</v>
      </c>
    </row>
    <row r="24" spans="1:17" s="39" customFormat="1" ht="18" customHeight="1">
      <c r="A24" s="536" t="s">
        <v>382</v>
      </c>
      <c r="B24" s="537"/>
      <c r="C24" s="537"/>
      <c r="D24" s="537"/>
      <c r="E24" s="537"/>
      <c r="F24" s="537"/>
      <c r="G24" s="537"/>
      <c r="H24" s="537"/>
      <c r="I24" s="538"/>
      <c r="J24" s="593"/>
      <c r="K24" s="58"/>
      <c r="L24" s="58"/>
      <c r="M24" s="58"/>
      <c r="N24" s="58"/>
      <c r="O24" s="58"/>
      <c r="P24" s="58" t="e">
        <f>ROUND(J24*$P$23,0)</f>
        <v>#DIV/0!</v>
      </c>
    </row>
    <row r="25" spans="1:17" s="39" customFormat="1" ht="18" customHeight="1">
      <c r="A25" s="536" t="s">
        <v>383</v>
      </c>
      <c r="B25" s="537"/>
      <c r="C25" s="537"/>
      <c r="D25" s="537"/>
      <c r="E25" s="537"/>
      <c r="F25" s="537"/>
      <c r="G25" s="537"/>
      <c r="H25" s="537"/>
      <c r="I25" s="538"/>
      <c r="J25" s="593"/>
      <c r="K25" s="58"/>
      <c r="L25" s="58"/>
      <c r="M25" s="58"/>
      <c r="N25" s="58"/>
      <c r="O25" s="58"/>
      <c r="P25" s="58" t="e">
        <f>SUM(P21:P24)</f>
        <v>#DIV/0!</v>
      </c>
    </row>
    <row r="26" spans="1:17" s="39" customFormat="1" ht="18" customHeight="1">
      <c r="A26" s="555" t="s">
        <v>384</v>
      </c>
      <c r="B26" s="556"/>
      <c r="C26" s="556"/>
      <c r="D26" s="556"/>
      <c r="E26" s="556"/>
      <c r="F26" s="556"/>
      <c r="G26" s="556"/>
      <c r="H26" s="556"/>
      <c r="I26" s="556"/>
      <c r="J26" s="557"/>
      <c r="K26" s="59"/>
      <c r="L26" s="59"/>
      <c r="M26" s="59"/>
      <c r="N26" s="59"/>
      <c r="O26" s="59"/>
      <c r="P26" s="59" t="e">
        <f>+P25+P20</f>
        <v>#DIV/0!</v>
      </c>
    </row>
    <row r="27" spans="1:17" s="39" customFormat="1" ht="18" customHeight="1">
      <c r="A27" s="536" t="s">
        <v>386</v>
      </c>
      <c r="B27" s="537"/>
      <c r="C27" s="537"/>
      <c r="D27" s="537"/>
      <c r="E27" s="537"/>
      <c r="F27" s="537"/>
      <c r="G27" s="537"/>
      <c r="H27" s="537"/>
      <c r="I27" s="538"/>
      <c r="J27" s="592"/>
      <c r="K27" s="58"/>
      <c r="L27" s="58"/>
      <c r="M27" s="58"/>
      <c r="N27" s="58"/>
      <c r="O27" s="58"/>
      <c r="P27" s="58">
        <f>+APU_PGS!G66</f>
        <v>0</v>
      </c>
    </row>
    <row r="28" spans="1:17" s="39" customFormat="1" ht="18" customHeight="1">
      <c r="A28" s="536" t="s">
        <v>387</v>
      </c>
      <c r="B28" s="537"/>
      <c r="C28" s="537"/>
      <c r="D28" s="537"/>
      <c r="E28" s="537"/>
      <c r="F28" s="537"/>
      <c r="G28" s="537"/>
      <c r="H28" s="537"/>
      <c r="I28" s="538"/>
      <c r="J28" s="592"/>
      <c r="K28" s="58"/>
      <c r="L28" s="58"/>
      <c r="M28" s="58"/>
      <c r="N28" s="58"/>
      <c r="O28" s="58"/>
      <c r="P28" s="590" t="e">
        <f>+J28*P20</f>
        <v>#DIV/0!</v>
      </c>
    </row>
    <row r="29" spans="1:17" s="39" customFormat="1" ht="18" customHeight="1">
      <c r="A29" s="524" t="s">
        <v>914</v>
      </c>
      <c r="B29" s="525"/>
      <c r="C29" s="525"/>
      <c r="D29" s="525"/>
      <c r="E29" s="525"/>
      <c r="F29" s="525"/>
      <c r="G29" s="525"/>
      <c r="H29" s="525"/>
      <c r="I29" s="526"/>
      <c r="J29" s="62"/>
      <c r="K29" s="62"/>
      <c r="L29" s="62"/>
      <c r="M29" s="62"/>
      <c r="N29" s="62"/>
      <c r="O29" s="62"/>
      <c r="P29" s="62" t="e">
        <f>SUM(P26:P28)</f>
        <v>#DIV/0!</v>
      </c>
    </row>
    <row r="30" spans="1:17" s="39" customFormat="1" ht="18" customHeight="1">
      <c r="A30" s="527" t="s">
        <v>915</v>
      </c>
      <c r="B30" s="528"/>
      <c r="C30" s="528"/>
      <c r="D30" s="528"/>
      <c r="E30" s="528"/>
      <c r="F30" s="528"/>
      <c r="G30" s="528"/>
      <c r="H30" s="528"/>
      <c r="I30" s="529"/>
      <c r="J30" s="63"/>
      <c r="K30" s="61"/>
      <c r="L30" s="61"/>
      <c r="M30" s="61"/>
      <c r="N30" s="61"/>
      <c r="O30" s="61"/>
      <c r="P30" s="383">
        <f>+Usuarios!C22</f>
        <v>368</v>
      </c>
    </row>
    <row r="31" spans="1:17" s="26" customFormat="1" ht="18" customHeight="1">
      <c r="A31" s="530" t="s">
        <v>392</v>
      </c>
      <c r="B31" s="531"/>
      <c r="C31" s="531"/>
      <c r="D31" s="531"/>
      <c r="E31" s="531"/>
      <c r="F31" s="531"/>
      <c r="G31" s="531"/>
      <c r="H31" s="531"/>
      <c r="I31" s="532"/>
      <c r="J31" s="64"/>
      <c r="K31" s="65"/>
      <c r="L31" s="65"/>
      <c r="M31" s="65"/>
      <c r="N31" s="65"/>
      <c r="O31" s="65"/>
      <c r="P31" s="65" t="e">
        <f>+P29/P30</f>
        <v>#DIV/0!</v>
      </c>
      <c r="Q31" s="351"/>
    </row>
    <row r="32" spans="1:17" ht="13">
      <c r="A32" s="533"/>
      <c r="B32" s="534"/>
      <c r="C32" s="534"/>
      <c r="D32" s="534"/>
      <c r="E32" s="534"/>
      <c r="F32" s="534"/>
      <c r="G32" s="534"/>
      <c r="H32" s="534"/>
      <c r="I32" s="534"/>
      <c r="J32" s="534"/>
      <c r="K32" s="534"/>
      <c r="L32" s="534"/>
      <c r="M32" s="534"/>
      <c r="N32" s="534"/>
      <c r="O32" s="534"/>
      <c r="P32" s="535"/>
    </row>
    <row r="33" spans="1:16" ht="25.9" customHeight="1">
      <c r="A33" s="558"/>
      <c r="B33" s="558"/>
      <c r="C33" s="558"/>
      <c r="D33" s="558"/>
      <c r="E33" s="558"/>
      <c r="F33" s="558"/>
      <c r="G33" s="558"/>
      <c r="H33" s="558"/>
      <c r="I33" s="558"/>
      <c r="J33" s="558"/>
      <c r="K33" s="558"/>
      <c r="L33" s="558"/>
      <c r="M33" s="558"/>
      <c r="N33" s="558"/>
      <c r="O33" s="558"/>
      <c r="P33" s="558"/>
    </row>
    <row r="34" spans="1:16" ht="23.5" customHeight="1"/>
    <row r="35" spans="1:16" ht="23.5" customHeight="1"/>
    <row r="36" spans="1:16" ht="33" customHeight="1"/>
    <row r="37" spans="1:16" ht="23.5" customHeight="1"/>
    <row r="42" spans="1:16" ht="13">
      <c r="O42" s="26"/>
      <c r="P42" s="66"/>
    </row>
    <row r="43" spans="1:16" ht="13">
      <c r="O43" s="26"/>
      <c r="P43" s="66"/>
    </row>
  </sheetData>
  <mergeCells count="21">
    <mergeCell ref="A27:I27"/>
    <mergeCell ref="A28:I28"/>
    <mergeCell ref="A29:I29"/>
    <mergeCell ref="A30:I30"/>
    <mergeCell ref="A25:I25"/>
    <mergeCell ref="A26:J26"/>
    <mergeCell ref="A33:P33"/>
    <mergeCell ref="A20:J20"/>
    <mergeCell ref="A21:I21"/>
    <mergeCell ref="A22:I22"/>
    <mergeCell ref="A1:P1"/>
    <mergeCell ref="A2:A3"/>
    <mergeCell ref="B2:B3"/>
    <mergeCell ref="C2:C3"/>
    <mergeCell ref="D2:D3"/>
    <mergeCell ref="E2:J2"/>
    <mergeCell ref="K2:P2"/>
    <mergeCell ref="A24:I24"/>
    <mergeCell ref="A23:I23"/>
    <mergeCell ref="A31:I31"/>
    <mergeCell ref="A32:P32"/>
  </mergeCells>
  <phoneticPr fontId="39" type="noConversion"/>
  <pageMargins left="0.84" right="0.79" top="0.55118110236220474" bottom="0.43307086614173229" header="0.31496062992125984" footer="0.31496062992125984"/>
  <pageSetup scale="3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36AF-FFD4-42BC-BDDF-B9A7CCBB4EA1}">
  <dimension ref="A1:G67"/>
  <sheetViews>
    <sheetView view="pageBreakPreview" topLeftCell="A55" zoomScale="55" zoomScaleNormal="100" zoomScaleSheetLayoutView="55" workbookViewId="0">
      <selection activeCell="E62" sqref="E62:E65"/>
    </sheetView>
  </sheetViews>
  <sheetFormatPr baseColWidth="10" defaultColWidth="12.7265625" defaultRowHeight="14.5"/>
  <cols>
    <col min="1" max="1" width="18" style="384" customWidth="1"/>
    <col min="2" max="2" width="91.7265625" style="384" customWidth="1"/>
    <col min="3" max="3" width="13.54296875" style="384" customWidth="1"/>
    <col min="4" max="4" width="13.26953125" style="384" bestFit="1" customWidth="1"/>
    <col min="5" max="5" width="20" style="384" bestFit="1" customWidth="1"/>
    <col min="6" max="6" width="18" style="384" bestFit="1" customWidth="1"/>
    <col min="7" max="7" width="41.453125" style="384" customWidth="1"/>
    <col min="8" max="16384" width="12.7265625" style="384"/>
  </cols>
  <sheetData>
    <row r="1" spans="1:7" ht="49.15" customHeight="1">
      <c r="A1" s="479"/>
      <c r="B1" s="480" t="s">
        <v>263</v>
      </c>
      <c r="C1" s="480"/>
      <c r="D1" s="480"/>
      <c r="E1" s="480"/>
      <c r="F1" s="480"/>
      <c r="G1" s="481"/>
    </row>
    <row r="2" spans="1:7" ht="14.5" customHeight="1">
      <c r="A2" s="479"/>
      <c r="B2" s="480"/>
      <c r="C2" s="480"/>
      <c r="D2" s="480"/>
      <c r="E2" s="480"/>
      <c r="F2" s="480"/>
      <c r="G2" s="481"/>
    </row>
    <row r="3" spans="1:7">
      <c r="A3" s="479"/>
      <c r="B3" s="482" t="s">
        <v>264</v>
      </c>
      <c r="C3" s="482"/>
      <c r="D3" s="482"/>
      <c r="E3" s="482"/>
      <c r="F3" s="482"/>
      <c r="G3" s="483"/>
    </row>
    <row r="4" spans="1:7">
      <c r="A4" s="484" t="s">
        <v>265</v>
      </c>
      <c r="B4" s="485"/>
      <c r="C4" s="485"/>
      <c r="D4" s="485"/>
      <c r="E4" s="486"/>
      <c r="F4" s="402" t="s">
        <v>266</v>
      </c>
      <c r="G4" s="402">
        <v>368</v>
      </c>
    </row>
    <row r="5" spans="1:7">
      <c r="A5" s="403" t="s">
        <v>267</v>
      </c>
      <c r="B5" s="403" t="s">
        <v>28</v>
      </c>
      <c r="C5" s="403" t="s">
        <v>268</v>
      </c>
      <c r="D5" s="404" t="s">
        <v>57</v>
      </c>
      <c r="E5" s="403" t="s">
        <v>269</v>
      </c>
      <c r="F5" s="403" t="s">
        <v>270</v>
      </c>
      <c r="G5" s="405" t="s">
        <v>271</v>
      </c>
    </row>
    <row r="6" spans="1:7" ht="49.9" customHeight="1">
      <c r="A6" s="487">
        <v>1</v>
      </c>
      <c r="B6" s="491" t="s">
        <v>272</v>
      </c>
      <c r="C6" s="492"/>
      <c r="D6" s="492"/>
      <c r="E6" s="492"/>
      <c r="F6" s="492"/>
      <c r="G6" s="493"/>
    </row>
    <row r="7" spans="1:7" ht="87" customHeight="1">
      <c r="A7" s="488"/>
      <c r="B7" s="431" t="s">
        <v>273</v>
      </c>
      <c r="C7" s="432" t="s">
        <v>274</v>
      </c>
      <c r="D7" s="432">
        <v>6</v>
      </c>
      <c r="E7" s="433"/>
      <c r="F7" s="434">
        <f>E7*D7</f>
        <v>0</v>
      </c>
      <c r="G7" s="494">
        <f>SUM(F7:F10)</f>
        <v>0</v>
      </c>
    </row>
    <row r="8" spans="1:7" ht="31.9" customHeight="1">
      <c r="A8" s="488"/>
      <c r="B8" s="431" t="s">
        <v>275</v>
      </c>
      <c r="C8" s="432" t="s">
        <v>276</v>
      </c>
      <c r="D8" s="432">
        <v>2</v>
      </c>
      <c r="E8" s="433"/>
      <c r="F8" s="434">
        <f>E8*D8</f>
        <v>0</v>
      </c>
      <c r="G8" s="494"/>
    </row>
    <row r="9" spans="1:7" ht="49.9" customHeight="1">
      <c r="A9" s="488"/>
      <c r="B9" s="407" t="s">
        <v>277</v>
      </c>
      <c r="C9" s="408" t="s">
        <v>278</v>
      </c>
      <c r="D9" s="409">
        <v>0</v>
      </c>
      <c r="E9" s="410"/>
      <c r="F9" s="434">
        <f t="shared" ref="F9:F10" si="0">E9*D9</f>
        <v>0</v>
      </c>
      <c r="G9" s="495"/>
    </row>
    <row r="10" spans="1:7" ht="64.150000000000006" customHeight="1">
      <c r="A10" s="488"/>
      <c r="B10" s="431" t="s">
        <v>279</v>
      </c>
      <c r="C10" s="408" t="s">
        <v>278</v>
      </c>
      <c r="D10" s="409">
        <v>0</v>
      </c>
      <c r="E10" s="410"/>
      <c r="F10" s="434">
        <f t="shared" si="0"/>
        <v>0</v>
      </c>
      <c r="G10" s="495"/>
    </row>
    <row r="11" spans="1:7" ht="40.15" customHeight="1">
      <c r="A11" s="489"/>
      <c r="B11" s="496" t="s">
        <v>280</v>
      </c>
      <c r="C11" s="497"/>
      <c r="D11" s="497"/>
      <c r="E11" s="497"/>
      <c r="F11" s="498"/>
      <c r="G11" s="499">
        <f>SUM(F12:F16)</f>
        <v>0</v>
      </c>
    </row>
    <row r="12" spans="1:7" ht="101.5">
      <c r="A12" s="489"/>
      <c r="B12" s="435" t="s">
        <v>281</v>
      </c>
      <c r="C12" s="411" t="s">
        <v>282</v>
      </c>
      <c r="D12" s="412">
        <v>192</v>
      </c>
      <c r="E12" s="413"/>
      <c r="F12" s="414">
        <f>E12*D12</f>
        <v>0</v>
      </c>
      <c r="G12" s="499"/>
    </row>
    <row r="13" spans="1:7" ht="34.9" customHeight="1">
      <c r="A13" s="489"/>
      <c r="B13" s="435" t="s">
        <v>283</v>
      </c>
      <c r="C13" s="411" t="s">
        <v>282</v>
      </c>
      <c r="D13" s="412">
        <v>192</v>
      </c>
      <c r="E13" s="413"/>
      <c r="F13" s="414">
        <f>E13*D13</f>
        <v>0</v>
      </c>
      <c r="G13" s="499"/>
    </row>
    <row r="14" spans="1:7" ht="48" customHeight="1">
      <c r="A14" s="489"/>
      <c r="B14" s="436" t="s">
        <v>284</v>
      </c>
      <c r="C14" s="408" t="s">
        <v>285</v>
      </c>
      <c r="D14" s="415">
        <v>184</v>
      </c>
      <c r="E14" s="416"/>
      <c r="F14" s="414">
        <f>E14*3</f>
        <v>0</v>
      </c>
      <c r="G14" s="499"/>
    </row>
    <row r="15" spans="1:7" ht="33" customHeight="1">
      <c r="A15" s="488"/>
      <c r="B15" s="436" t="s">
        <v>286</v>
      </c>
      <c r="C15" s="411" t="s">
        <v>282</v>
      </c>
      <c r="D15" s="415">
        <v>1</v>
      </c>
      <c r="E15" s="413"/>
      <c r="F15" s="416">
        <f>E15*D15</f>
        <v>0</v>
      </c>
      <c r="G15" s="499"/>
    </row>
    <row r="16" spans="1:7" ht="34.9" customHeight="1">
      <c r="A16" s="490"/>
      <c r="B16" s="417" t="s">
        <v>287</v>
      </c>
      <c r="C16" s="411" t="s">
        <v>282</v>
      </c>
      <c r="D16" s="412">
        <v>3</v>
      </c>
      <c r="E16" s="413"/>
      <c r="F16" s="414">
        <f>E16*D16</f>
        <v>0</v>
      </c>
      <c r="G16" s="500"/>
    </row>
    <row r="17" spans="1:7" ht="40.15" customHeight="1">
      <c r="A17" s="487">
        <v>2</v>
      </c>
      <c r="B17" s="496" t="s">
        <v>288</v>
      </c>
      <c r="C17" s="497"/>
      <c r="D17" s="497"/>
      <c r="E17" s="497"/>
      <c r="F17" s="498"/>
      <c r="G17" s="501">
        <f>F18+F19</f>
        <v>0</v>
      </c>
    </row>
    <row r="18" spans="1:7" ht="42" customHeight="1">
      <c r="A18" s="488"/>
      <c r="B18" s="431" t="s">
        <v>289</v>
      </c>
      <c r="C18" s="432" t="s">
        <v>282</v>
      </c>
      <c r="D18" s="432">
        <v>9</v>
      </c>
      <c r="E18" s="434"/>
      <c r="F18" s="434">
        <f>E18*D18</f>
        <v>0</v>
      </c>
      <c r="G18" s="502"/>
    </row>
    <row r="19" spans="1:7" ht="49.15" customHeight="1">
      <c r="A19" s="488"/>
      <c r="B19" s="431" t="s">
        <v>290</v>
      </c>
      <c r="C19" s="408" t="s">
        <v>285</v>
      </c>
      <c r="D19" s="432">
        <v>9</v>
      </c>
      <c r="E19" s="437"/>
      <c r="F19" s="434">
        <f>E19*D19</f>
        <v>0</v>
      </c>
      <c r="G19" s="502"/>
    </row>
    <row r="20" spans="1:7" ht="40.15" customHeight="1">
      <c r="A20" s="503">
        <v>3</v>
      </c>
      <c r="B20" s="496" t="s">
        <v>291</v>
      </c>
      <c r="C20" s="497"/>
      <c r="D20" s="497"/>
      <c r="E20" s="497"/>
      <c r="F20" s="498"/>
      <c r="G20" s="501">
        <f>SUM(F21:F23)</f>
        <v>0</v>
      </c>
    </row>
    <row r="21" spans="1:7" ht="34.9" customHeight="1">
      <c r="A21" s="489"/>
      <c r="B21" s="438" t="s">
        <v>292</v>
      </c>
      <c r="C21" s="418" t="s">
        <v>282</v>
      </c>
      <c r="D21" s="419">
        <f>G4*2</f>
        <v>736</v>
      </c>
      <c r="E21" s="413"/>
      <c r="F21" s="414">
        <f>E21*D21</f>
        <v>0</v>
      </c>
      <c r="G21" s="501"/>
    </row>
    <row r="22" spans="1:7" ht="42" customHeight="1">
      <c r="A22" s="489"/>
      <c r="B22" s="436" t="s">
        <v>293</v>
      </c>
      <c r="C22" s="411" t="s">
        <v>276</v>
      </c>
      <c r="D22" s="415">
        <v>5</v>
      </c>
      <c r="E22" s="413"/>
      <c r="F22" s="414">
        <f>E22*D22</f>
        <v>0</v>
      </c>
      <c r="G22" s="504"/>
    </row>
    <row r="23" spans="1:7" ht="43.5">
      <c r="A23" s="489"/>
      <c r="B23" s="420" t="s">
        <v>294</v>
      </c>
      <c r="C23" s="421" t="s">
        <v>278</v>
      </c>
      <c r="D23" s="415">
        <v>0</v>
      </c>
      <c r="E23" s="416"/>
      <c r="F23" s="414">
        <f t="shared" ref="F23" si="1">E23*D23</f>
        <v>0</v>
      </c>
      <c r="G23" s="504"/>
    </row>
    <row r="24" spans="1:7" ht="40.15" customHeight="1">
      <c r="A24" s="503">
        <v>4</v>
      </c>
      <c r="B24" s="496" t="s">
        <v>295</v>
      </c>
      <c r="C24" s="497"/>
      <c r="D24" s="497"/>
      <c r="E24" s="497"/>
      <c r="F24" s="498"/>
      <c r="G24" s="509">
        <f>SUM(F25:F29)</f>
        <v>0</v>
      </c>
    </row>
    <row r="25" spans="1:7" ht="55.9" customHeight="1">
      <c r="A25" s="488"/>
      <c r="B25" s="435" t="s">
        <v>296</v>
      </c>
      <c r="C25" s="411" t="s">
        <v>282</v>
      </c>
      <c r="D25" s="412">
        <v>192</v>
      </c>
      <c r="E25" s="413"/>
      <c r="F25" s="422">
        <f t="shared" ref="F25:F29" si="2">E25*D25</f>
        <v>0</v>
      </c>
      <c r="G25" s="509"/>
    </row>
    <row r="26" spans="1:7" ht="34.9" customHeight="1">
      <c r="A26" s="488"/>
      <c r="B26" s="431" t="s">
        <v>297</v>
      </c>
      <c r="C26" s="408" t="s">
        <v>282</v>
      </c>
      <c r="D26" s="412">
        <v>192</v>
      </c>
      <c r="E26" s="413"/>
      <c r="F26" s="422">
        <f t="shared" si="2"/>
        <v>0</v>
      </c>
      <c r="G26" s="509"/>
    </row>
    <row r="27" spans="1:7" ht="29">
      <c r="A27" s="488"/>
      <c r="B27" s="436" t="s">
        <v>298</v>
      </c>
      <c r="C27" s="408" t="s">
        <v>285</v>
      </c>
      <c r="D27" s="409">
        <v>184</v>
      </c>
      <c r="E27" s="416"/>
      <c r="F27" s="422">
        <f>E27*4</f>
        <v>0</v>
      </c>
      <c r="G27" s="509"/>
    </row>
    <row r="28" spans="1:7" ht="34.9" customHeight="1">
      <c r="A28" s="488"/>
      <c r="B28" s="436" t="s">
        <v>286</v>
      </c>
      <c r="C28" s="411" t="s">
        <v>282</v>
      </c>
      <c r="D28" s="415">
        <v>1</v>
      </c>
      <c r="E28" s="413"/>
      <c r="F28" s="416">
        <f>E28*D28</f>
        <v>0</v>
      </c>
      <c r="G28" s="509"/>
    </row>
    <row r="29" spans="1:7" ht="70.150000000000006" customHeight="1">
      <c r="A29" s="490"/>
      <c r="B29" s="407" t="s">
        <v>299</v>
      </c>
      <c r="C29" s="408" t="s">
        <v>278</v>
      </c>
      <c r="D29" s="409">
        <v>0</v>
      </c>
      <c r="E29" s="410"/>
      <c r="F29" s="422">
        <f t="shared" si="2"/>
        <v>0</v>
      </c>
      <c r="G29" s="509"/>
    </row>
    <row r="30" spans="1:7" ht="49.9" customHeight="1">
      <c r="A30" s="503">
        <v>5</v>
      </c>
      <c r="B30" s="510" t="s">
        <v>300</v>
      </c>
      <c r="C30" s="511"/>
      <c r="D30" s="511"/>
      <c r="E30" s="511"/>
      <c r="F30" s="511"/>
      <c r="G30" s="509">
        <f>SUM(F31:F34)</f>
        <v>0</v>
      </c>
    </row>
    <row r="31" spans="1:7" ht="29">
      <c r="A31" s="488"/>
      <c r="B31" s="431" t="s">
        <v>275</v>
      </c>
      <c r="C31" s="432" t="s">
        <v>276</v>
      </c>
      <c r="D31" s="432">
        <v>2</v>
      </c>
      <c r="E31" s="433"/>
      <c r="F31" s="434">
        <f>E31*D31</f>
        <v>0</v>
      </c>
      <c r="G31" s="509"/>
    </row>
    <row r="32" spans="1:7" ht="42" customHeight="1">
      <c r="A32" s="488"/>
      <c r="B32" s="436" t="s">
        <v>301</v>
      </c>
      <c r="C32" s="411" t="s">
        <v>274</v>
      </c>
      <c r="D32" s="415">
        <v>1</v>
      </c>
      <c r="E32" s="413"/>
      <c r="F32" s="414">
        <f t="shared" ref="F32:F34" si="3">E32*D32</f>
        <v>0</v>
      </c>
      <c r="G32" s="509"/>
    </row>
    <row r="33" spans="1:7" ht="42" customHeight="1">
      <c r="A33" s="488"/>
      <c r="B33" s="407" t="s">
        <v>277</v>
      </c>
      <c r="C33" s="408" t="s">
        <v>278</v>
      </c>
      <c r="D33" s="409">
        <v>0</v>
      </c>
      <c r="E33" s="410"/>
      <c r="F33" s="439">
        <f t="shared" si="3"/>
        <v>0</v>
      </c>
      <c r="G33" s="509"/>
    </row>
    <row r="34" spans="1:7" ht="64.150000000000006" customHeight="1">
      <c r="A34" s="488"/>
      <c r="B34" s="431" t="s">
        <v>279</v>
      </c>
      <c r="C34" s="408" t="s">
        <v>278</v>
      </c>
      <c r="D34" s="409">
        <v>0</v>
      </c>
      <c r="E34" s="410"/>
      <c r="F34" s="439">
        <f t="shared" si="3"/>
        <v>0</v>
      </c>
      <c r="G34" s="509"/>
    </row>
    <row r="35" spans="1:7" ht="40.15" customHeight="1">
      <c r="A35" s="516">
        <v>6</v>
      </c>
      <c r="B35" s="496" t="s">
        <v>302</v>
      </c>
      <c r="C35" s="497"/>
      <c r="D35" s="497"/>
      <c r="E35" s="497"/>
      <c r="F35" s="498"/>
      <c r="G35" s="505">
        <f>SUM(F37:F45)</f>
        <v>0</v>
      </c>
    </row>
    <row r="36" spans="1:7" ht="37.9" customHeight="1">
      <c r="A36" s="516"/>
      <c r="B36" s="508" t="s">
        <v>303</v>
      </c>
      <c r="C36" s="508"/>
      <c r="D36" s="508"/>
      <c r="E36" s="508"/>
      <c r="F36" s="508"/>
      <c r="G36" s="506"/>
    </row>
    <row r="37" spans="1:7" ht="34.9" customHeight="1">
      <c r="A37" s="516"/>
      <c r="B37" s="431" t="s">
        <v>304</v>
      </c>
      <c r="C37" s="418" t="s">
        <v>305</v>
      </c>
      <c r="D37" s="440">
        <v>226</v>
      </c>
      <c r="E37" s="423"/>
      <c r="F37" s="434">
        <f>E37*(D37*3)</f>
        <v>0</v>
      </c>
      <c r="G37" s="506"/>
    </row>
    <row r="38" spans="1:7" ht="34.9" customHeight="1">
      <c r="A38" s="516"/>
      <c r="B38" s="431" t="s">
        <v>306</v>
      </c>
      <c r="C38" s="408" t="s">
        <v>282</v>
      </c>
      <c r="D38" s="409">
        <v>1</v>
      </c>
      <c r="E38" s="424"/>
      <c r="F38" s="434">
        <f t="shared" ref="F38" si="4">E38*D38</f>
        <v>0</v>
      </c>
      <c r="G38" s="506"/>
    </row>
    <row r="39" spans="1:7" ht="37.9" customHeight="1">
      <c r="A39" s="516"/>
      <c r="B39" s="508" t="s">
        <v>307</v>
      </c>
      <c r="C39" s="508"/>
      <c r="D39" s="508"/>
      <c r="E39" s="508"/>
      <c r="F39" s="508"/>
      <c r="G39" s="506"/>
    </row>
    <row r="40" spans="1:7" ht="34.9" customHeight="1">
      <c r="A40" s="516"/>
      <c r="B40" s="431" t="s">
        <v>308</v>
      </c>
      <c r="C40" s="411" t="s">
        <v>305</v>
      </c>
      <c r="D40" s="412">
        <v>368</v>
      </c>
      <c r="E40" s="423"/>
      <c r="F40" s="410">
        <f>E40*(D40*3)</f>
        <v>0</v>
      </c>
      <c r="G40" s="506"/>
    </row>
    <row r="41" spans="1:7" ht="34.9" customHeight="1">
      <c r="A41" s="516"/>
      <c r="B41" s="441" t="s">
        <v>309</v>
      </c>
      <c r="C41" s="421" t="s">
        <v>305</v>
      </c>
      <c r="D41" s="412">
        <v>368</v>
      </c>
      <c r="E41" s="413"/>
      <c r="F41" s="410">
        <f>E41*D41</f>
        <v>0</v>
      </c>
      <c r="G41" s="506"/>
    </row>
    <row r="42" spans="1:7" ht="34.9" customHeight="1">
      <c r="A42" s="516"/>
      <c r="B42" s="431" t="s">
        <v>310</v>
      </c>
      <c r="C42" s="411" t="s">
        <v>305</v>
      </c>
      <c r="D42" s="409">
        <v>1</v>
      </c>
      <c r="E42" s="424"/>
      <c r="F42" s="410">
        <f>E42*D42</f>
        <v>0</v>
      </c>
      <c r="G42" s="506"/>
    </row>
    <row r="43" spans="1:7" ht="37.9" customHeight="1">
      <c r="A43" s="516"/>
      <c r="B43" s="508" t="s">
        <v>311</v>
      </c>
      <c r="C43" s="508"/>
      <c r="D43" s="508"/>
      <c r="E43" s="508"/>
      <c r="F43" s="508"/>
      <c r="G43" s="506"/>
    </row>
    <row r="44" spans="1:7" ht="34.9" customHeight="1">
      <c r="A44" s="516"/>
      <c r="B44" s="442" t="s">
        <v>312</v>
      </c>
      <c r="C44" s="408" t="s">
        <v>305</v>
      </c>
      <c r="D44" s="409">
        <v>368</v>
      </c>
      <c r="E44" s="423"/>
      <c r="F44" s="410">
        <f>E44*(D44*4)</f>
        <v>0</v>
      </c>
      <c r="G44" s="506"/>
    </row>
    <row r="45" spans="1:7" ht="34.9" customHeight="1">
      <c r="A45" s="516"/>
      <c r="B45" s="431" t="s">
        <v>313</v>
      </c>
      <c r="C45" s="408" t="s">
        <v>282</v>
      </c>
      <c r="D45" s="409">
        <v>1</v>
      </c>
      <c r="E45" s="424"/>
      <c r="F45" s="410">
        <f>E45*D45</f>
        <v>0</v>
      </c>
      <c r="G45" s="507"/>
    </row>
    <row r="46" spans="1:7" ht="45" customHeight="1">
      <c r="A46" s="517">
        <v>7</v>
      </c>
      <c r="B46" s="496" t="s">
        <v>314</v>
      </c>
      <c r="C46" s="497"/>
      <c r="D46" s="497"/>
      <c r="E46" s="497"/>
      <c r="F46" s="498"/>
      <c r="G46" s="519">
        <f>SUM(F47:F50)</f>
        <v>0</v>
      </c>
    </row>
    <row r="47" spans="1:7" ht="42" customHeight="1">
      <c r="A47" s="518"/>
      <c r="B47" s="431" t="s">
        <v>315</v>
      </c>
      <c r="C47" s="408" t="s">
        <v>305</v>
      </c>
      <c r="D47" s="409">
        <v>370</v>
      </c>
      <c r="E47" s="410"/>
      <c r="F47" s="410">
        <f>E47*(D47*4)</f>
        <v>0</v>
      </c>
      <c r="G47" s="506"/>
    </row>
    <row r="48" spans="1:7" ht="34.9" customHeight="1">
      <c r="A48" s="518"/>
      <c r="B48" s="431" t="s">
        <v>306</v>
      </c>
      <c r="C48" s="408" t="s">
        <v>282</v>
      </c>
      <c r="D48" s="409">
        <v>1</v>
      </c>
      <c r="E48" s="424"/>
      <c r="F48" s="434">
        <f t="shared" ref="F48:F49" si="5">E48*D48</f>
        <v>0</v>
      </c>
      <c r="G48" s="506"/>
    </row>
    <row r="49" spans="1:7" ht="34.9" customHeight="1">
      <c r="A49" s="518"/>
      <c r="B49" s="443" t="s">
        <v>316</v>
      </c>
      <c r="C49" s="444" t="s">
        <v>305</v>
      </c>
      <c r="D49" s="445">
        <v>368</v>
      </c>
      <c r="E49" s="446"/>
      <c r="F49" s="433">
        <f t="shared" si="5"/>
        <v>0</v>
      </c>
      <c r="G49" s="506"/>
    </row>
    <row r="50" spans="1:7" ht="34.9" customHeight="1">
      <c r="A50" s="518"/>
      <c r="B50" s="431" t="s">
        <v>317</v>
      </c>
      <c r="C50" s="411" t="s">
        <v>305</v>
      </c>
      <c r="D50" s="409">
        <v>1</v>
      </c>
      <c r="E50" s="410"/>
      <c r="F50" s="413">
        <f>D50*E50</f>
        <v>0</v>
      </c>
      <c r="G50" s="506"/>
    </row>
    <row r="51" spans="1:7" ht="40.15" customHeight="1">
      <c r="A51" s="517">
        <v>8</v>
      </c>
      <c r="B51" s="496" t="s">
        <v>318</v>
      </c>
      <c r="C51" s="497"/>
      <c r="D51" s="497"/>
      <c r="E51" s="497"/>
      <c r="F51" s="498"/>
      <c r="G51" s="509">
        <f>SUM(F53:F65)</f>
        <v>0</v>
      </c>
    </row>
    <row r="52" spans="1:7" ht="37.9" customHeight="1">
      <c r="A52" s="518"/>
      <c r="B52" s="508" t="s">
        <v>319</v>
      </c>
      <c r="C52" s="508"/>
      <c r="D52" s="508"/>
      <c r="E52" s="508"/>
      <c r="F52" s="508"/>
      <c r="G52" s="509"/>
    </row>
    <row r="53" spans="1:7" ht="34.9" customHeight="1">
      <c r="A53" s="518"/>
      <c r="B53" s="442" t="s">
        <v>320</v>
      </c>
      <c r="C53" s="408" t="s">
        <v>305</v>
      </c>
      <c r="D53" s="409">
        <v>370</v>
      </c>
      <c r="E53" s="425"/>
      <c r="F53" s="426">
        <f>E53*D53</f>
        <v>0</v>
      </c>
      <c r="G53" s="509"/>
    </row>
    <row r="54" spans="1:7" ht="42" customHeight="1">
      <c r="A54" s="518"/>
      <c r="B54" s="407" t="s">
        <v>321</v>
      </c>
      <c r="C54" s="408" t="s">
        <v>282</v>
      </c>
      <c r="D54" s="409">
        <v>1</v>
      </c>
      <c r="E54" s="410"/>
      <c r="F54" s="426">
        <f t="shared" ref="F54:F60" si="6">E54*D54</f>
        <v>0</v>
      </c>
      <c r="G54" s="509"/>
    </row>
    <row r="55" spans="1:7" ht="34.9" customHeight="1">
      <c r="A55" s="518"/>
      <c r="B55" s="407" t="s">
        <v>322</v>
      </c>
      <c r="C55" s="427" t="s">
        <v>305</v>
      </c>
      <c r="D55" s="427">
        <v>1</v>
      </c>
      <c r="E55" s="410"/>
      <c r="F55" s="426">
        <f t="shared" si="6"/>
        <v>0</v>
      </c>
      <c r="G55" s="509"/>
    </row>
    <row r="56" spans="1:7" ht="42" customHeight="1">
      <c r="A56" s="518"/>
      <c r="B56" s="407" t="s">
        <v>323</v>
      </c>
      <c r="C56" s="427" t="s">
        <v>305</v>
      </c>
      <c r="D56" s="427">
        <v>1</v>
      </c>
      <c r="E56" s="410"/>
      <c r="F56" s="426">
        <f t="shared" si="6"/>
        <v>0</v>
      </c>
      <c r="G56" s="509"/>
    </row>
    <row r="57" spans="1:7" ht="34.9" customHeight="1">
      <c r="A57" s="518"/>
      <c r="B57" s="447" t="s">
        <v>324</v>
      </c>
      <c r="C57" s="427" t="s">
        <v>305</v>
      </c>
      <c r="D57" s="427">
        <v>1</v>
      </c>
      <c r="E57" s="425"/>
      <c r="F57" s="426">
        <f t="shared" si="6"/>
        <v>0</v>
      </c>
      <c r="G57" s="509"/>
    </row>
    <row r="58" spans="1:7" ht="34.9" customHeight="1">
      <c r="A58" s="518"/>
      <c r="B58" s="407" t="s">
        <v>325</v>
      </c>
      <c r="C58" s="427" t="s">
        <v>305</v>
      </c>
      <c r="D58" s="427">
        <v>5</v>
      </c>
      <c r="E58" s="410"/>
      <c r="F58" s="426">
        <f t="shared" si="6"/>
        <v>0</v>
      </c>
      <c r="G58" s="509"/>
    </row>
    <row r="59" spans="1:7" ht="34.9" customHeight="1">
      <c r="A59" s="518"/>
      <c r="B59" s="407" t="s">
        <v>326</v>
      </c>
      <c r="C59" s="427" t="s">
        <v>305</v>
      </c>
      <c r="D59" s="427">
        <v>1</v>
      </c>
      <c r="E59" s="410"/>
      <c r="F59" s="426">
        <f t="shared" si="6"/>
        <v>0</v>
      </c>
      <c r="G59" s="509"/>
    </row>
    <row r="60" spans="1:7" ht="34.9" customHeight="1">
      <c r="A60" s="518"/>
      <c r="B60" s="407" t="s">
        <v>327</v>
      </c>
      <c r="C60" s="427" t="s">
        <v>305</v>
      </c>
      <c r="D60" s="427">
        <v>1</v>
      </c>
      <c r="E60" s="410"/>
      <c r="F60" s="426">
        <f t="shared" si="6"/>
        <v>0</v>
      </c>
      <c r="G60" s="509"/>
    </row>
    <row r="61" spans="1:7" ht="37.9" customHeight="1">
      <c r="A61" s="518"/>
      <c r="B61" s="508" t="s">
        <v>328</v>
      </c>
      <c r="C61" s="508"/>
      <c r="D61" s="508"/>
      <c r="E61" s="508"/>
      <c r="F61" s="508"/>
      <c r="G61" s="509"/>
    </row>
    <row r="62" spans="1:7" ht="34.9" customHeight="1">
      <c r="A62" s="518"/>
      <c r="B62" s="442" t="s">
        <v>329</v>
      </c>
      <c r="C62" s="411" t="s">
        <v>305</v>
      </c>
      <c r="D62" s="412">
        <v>370</v>
      </c>
      <c r="E62" s="428"/>
      <c r="F62" s="429">
        <f>D62*E62</f>
        <v>0</v>
      </c>
      <c r="G62" s="509"/>
    </row>
    <row r="63" spans="1:7" ht="34.9" customHeight="1">
      <c r="A63" s="518"/>
      <c r="B63" s="431" t="s">
        <v>330</v>
      </c>
      <c r="C63" s="411" t="s">
        <v>305</v>
      </c>
      <c r="D63" s="409">
        <v>1</v>
      </c>
      <c r="E63" s="410"/>
      <c r="F63" s="429">
        <f t="shared" ref="F63:F65" si="7">D63*E63</f>
        <v>0</v>
      </c>
      <c r="G63" s="509"/>
    </row>
    <row r="64" spans="1:7" ht="34.9" customHeight="1">
      <c r="A64" s="518"/>
      <c r="B64" s="407" t="s">
        <v>331</v>
      </c>
      <c r="C64" s="427" t="s">
        <v>305</v>
      </c>
      <c r="D64" s="427">
        <v>1</v>
      </c>
      <c r="E64" s="430"/>
      <c r="F64" s="429">
        <f t="shared" si="7"/>
        <v>0</v>
      </c>
      <c r="G64" s="509"/>
    </row>
    <row r="65" spans="1:7" ht="34.9" customHeight="1">
      <c r="A65" s="518"/>
      <c r="B65" s="407" t="s">
        <v>332</v>
      </c>
      <c r="C65" s="427" t="s">
        <v>305</v>
      </c>
      <c r="D65" s="427">
        <v>1</v>
      </c>
      <c r="E65" s="430"/>
      <c r="F65" s="429">
        <f t="shared" si="7"/>
        <v>0</v>
      </c>
      <c r="G65" s="509"/>
    </row>
    <row r="66" spans="1:7" ht="39.75" customHeight="1">
      <c r="A66" s="385"/>
      <c r="B66" s="386"/>
      <c r="C66" s="386"/>
      <c r="D66" s="386"/>
      <c r="E66" s="512" t="s">
        <v>22</v>
      </c>
      <c r="F66" s="513"/>
      <c r="G66" s="387">
        <f>SUM(G7:G65)</f>
        <v>0</v>
      </c>
    </row>
    <row r="67" spans="1:7" ht="15" customHeight="1">
      <c r="E67" s="514" t="s">
        <v>333</v>
      </c>
      <c r="F67" s="515"/>
      <c r="G67" s="388">
        <f>G66/G4</f>
        <v>0</v>
      </c>
    </row>
  </sheetData>
  <mergeCells count="37">
    <mergeCell ref="G46:G50"/>
    <mergeCell ref="A51:A65"/>
    <mergeCell ref="B51:F51"/>
    <mergeCell ref="G51:G65"/>
    <mergeCell ref="B61:F61"/>
    <mergeCell ref="E66:F66"/>
    <mergeCell ref="E67:F67"/>
    <mergeCell ref="B46:F46"/>
    <mergeCell ref="B52:F52"/>
    <mergeCell ref="A35:A45"/>
    <mergeCell ref="B35:F35"/>
    <mergeCell ref="A46:A50"/>
    <mergeCell ref="G35:G45"/>
    <mergeCell ref="B36:F36"/>
    <mergeCell ref="B39:F39"/>
    <mergeCell ref="B43:F43"/>
    <mergeCell ref="A24:A29"/>
    <mergeCell ref="B24:F24"/>
    <mergeCell ref="G24:G29"/>
    <mergeCell ref="A30:A34"/>
    <mergeCell ref="B30:F30"/>
    <mergeCell ref="G30:G34"/>
    <mergeCell ref="A17:A19"/>
    <mergeCell ref="B17:F17"/>
    <mergeCell ref="G17:G19"/>
    <mergeCell ref="A20:A23"/>
    <mergeCell ref="B20:F20"/>
    <mergeCell ref="G20:G23"/>
    <mergeCell ref="A1:A3"/>
    <mergeCell ref="B1:G2"/>
    <mergeCell ref="B3:G3"/>
    <mergeCell ref="A4:E4"/>
    <mergeCell ref="A6:A16"/>
    <mergeCell ref="B6:G6"/>
    <mergeCell ref="G7:G10"/>
    <mergeCell ref="B11:F11"/>
    <mergeCell ref="G11:G16"/>
  </mergeCells>
  <pageMargins left="0.7" right="0.7" top="0.75" bottom="0.75" header="0.3" footer="0.3"/>
  <pageSetup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22E0-98BC-403B-B542-9AB113A011A5}">
  <sheetPr>
    <tabColor theme="4" tint="0.79998168889431442"/>
    <pageSetUpPr fitToPage="1"/>
  </sheetPr>
  <dimension ref="A1:F39"/>
  <sheetViews>
    <sheetView showGridLines="0" view="pageBreakPreview" zoomScale="76" zoomScaleNormal="120" zoomScaleSheetLayoutView="76" workbookViewId="0">
      <selection activeCell="D24" sqref="D24"/>
    </sheetView>
  </sheetViews>
  <sheetFormatPr baseColWidth="10" defaultColWidth="11.453125" defaultRowHeight="12.5"/>
  <cols>
    <col min="1" max="1" width="11.453125" style="68"/>
    <col min="2" max="2" width="46.54296875" style="68" customWidth="1"/>
    <col min="3" max="3" width="12.54296875" style="68" customWidth="1"/>
    <col min="4" max="4" width="14.453125" style="68" customWidth="1"/>
    <col min="5" max="5" width="12.7265625" style="68" customWidth="1"/>
    <col min="6" max="6" width="15.26953125" style="68" customWidth="1"/>
    <col min="7" max="7" width="6.26953125" style="68" customWidth="1"/>
    <col min="8" max="8" width="11.453125" style="68"/>
    <col min="9" max="9" width="11.7265625" style="68" bestFit="1" customWidth="1"/>
    <col min="10" max="16384" width="11.453125" style="68"/>
  </cols>
  <sheetData>
    <row r="1" spans="1:6"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row>
    <row r="3" spans="1:6" ht="12.75" customHeight="1">
      <c r="B3" s="69" t="s">
        <v>422</v>
      </c>
      <c r="C3" s="70" t="str">
        <f>+'PRES. SISFV'!A5</f>
        <v>1.1</v>
      </c>
      <c r="D3" s="70"/>
      <c r="E3" s="70"/>
      <c r="F3" s="71" t="s">
        <v>423</v>
      </c>
    </row>
    <row r="4" spans="1:6" ht="26.5" customHeight="1">
      <c r="B4" s="560" t="str">
        <f>+'PRES. SISFV'!B5</f>
        <v>Realizar Replanteo de obra</v>
      </c>
      <c r="C4" s="561"/>
      <c r="D4" s="562"/>
      <c r="F4" s="72" t="str">
        <f>+'PRES. SISFV'!C5</f>
        <v>UN</v>
      </c>
    </row>
    <row r="5" spans="1:6" ht="13">
      <c r="B5" s="73"/>
      <c r="F5" s="74"/>
    </row>
    <row r="6" spans="1:6" ht="13">
      <c r="B6" s="75" t="s">
        <v>424</v>
      </c>
    </row>
    <row r="7" spans="1:6" ht="13">
      <c r="A7" s="146" t="s">
        <v>137</v>
      </c>
      <c r="B7" s="76" t="s">
        <v>28</v>
      </c>
      <c r="C7" s="77" t="s">
        <v>268</v>
      </c>
      <c r="D7" s="77" t="s">
        <v>57</v>
      </c>
      <c r="E7" s="77" t="s">
        <v>269</v>
      </c>
      <c r="F7" s="77" t="s">
        <v>270</v>
      </c>
    </row>
    <row r="8" spans="1:6" ht="13.15" customHeight="1">
      <c r="A8" s="147"/>
      <c r="B8" s="78"/>
      <c r="C8" s="79"/>
      <c r="D8" s="80"/>
      <c r="E8" s="81"/>
      <c r="F8" s="81"/>
    </row>
    <row r="9" spans="1:6" ht="14.5">
      <c r="A9" s="147"/>
      <c r="B9" s="82"/>
      <c r="C9" s="83"/>
      <c r="D9" s="84"/>
      <c r="E9" s="85"/>
      <c r="F9" s="85"/>
    </row>
    <row r="10" spans="1:6" ht="14.5">
      <c r="A10" s="147"/>
      <c r="B10" s="82"/>
      <c r="C10" s="83"/>
      <c r="D10" s="84"/>
      <c r="E10" s="85"/>
      <c r="F10" s="85"/>
    </row>
    <row r="11" spans="1:6" ht="14.5">
      <c r="A11" s="147"/>
      <c r="B11" s="82"/>
      <c r="C11" s="83"/>
      <c r="D11" s="84"/>
      <c r="E11" s="85"/>
      <c r="F11" s="85"/>
    </row>
    <row r="12" spans="1:6" ht="14.5">
      <c r="A12" s="147"/>
      <c r="B12" s="82"/>
      <c r="C12" s="83"/>
      <c r="D12" s="84"/>
      <c r="E12" s="85"/>
      <c r="F12" s="85"/>
    </row>
    <row r="13" spans="1:6" ht="13">
      <c r="D13" s="86"/>
      <c r="E13" s="87" t="s">
        <v>425</v>
      </c>
      <c r="F13" s="88">
        <f>SUM(F8:F12)</f>
        <v>0</v>
      </c>
    </row>
    <row r="15" spans="1:6" ht="13">
      <c r="B15" s="89" t="s">
        <v>426</v>
      </c>
    </row>
    <row r="16" spans="1:6" ht="13">
      <c r="A16" s="146" t="s">
        <v>137</v>
      </c>
      <c r="B16" s="76" t="s">
        <v>28</v>
      </c>
      <c r="C16" s="77" t="s">
        <v>57</v>
      </c>
      <c r="D16" s="77" t="s">
        <v>427</v>
      </c>
      <c r="E16" s="77" t="s">
        <v>30</v>
      </c>
      <c r="F16" s="77" t="s">
        <v>270</v>
      </c>
    </row>
    <row r="17" spans="1:6" ht="14.5">
      <c r="A17" s="147">
        <v>2</v>
      </c>
      <c r="B17" s="82" t="str">
        <f>VLOOKUP(A17,Equipoyherramienta[],2,FALSE)</f>
        <v>GPS</v>
      </c>
      <c r="C17" s="83">
        <v>1</v>
      </c>
      <c r="D17" s="90">
        <f>VLOOKUP(A17,Equipoyherramienta[],4,FALSE)</f>
        <v>0</v>
      </c>
      <c r="E17" s="84">
        <f>+RENDIMIENTOS!C7</f>
        <v>15</v>
      </c>
      <c r="F17" s="90">
        <f>ROUND(C17*D17/E17,0)</f>
        <v>0</v>
      </c>
    </row>
    <row r="18" spans="1:6" ht="14.5">
      <c r="A18" s="147">
        <v>4</v>
      </c>
      <c r="B18" s="82" t="str">
        <f>VLOOKUP(A18,Equipoyherramienta[],2,FALSE)</f>
        <v>Camara y comunicaciones</v>
      </c>
      <c r="C18" s="83">
        <v>1</v>
      </c>
      <c r="D18" s="90">
        <f>VLOOKUP(A18,Equipoyherramienta[],4,FALSE)</f>
        <v>0</v>
      </c>
      <c r="E18" s="84">
        <f>+RENDIMIENTOS!C8</f>
        <v>15</v>
      </c>
      <c r="F18" s="90">
        <f>ROUND(C18*D18/E18,0)</f>
        <v>0</v>
      </c>
    </row>
    <row r="19" spans="1:6">
      <c r="B19" s="82"/>
      <c r="C19" s="83"/>
      <c r="D19" s="85"/>
      <c r="E19" s="91"/>
      <c r="F19" s="92"/>
    </row>
    <row r="20" spans="1:6" ht="13">
      <c r="D20" s="86"/>
      <c r="E20" s="87" t="s">
        <v>425</v>
      </c>
      <c r="F20" s="88">
        <f>SUM(F17:F19)</f>
        <v>0</v>
      </c>
    </row>
    <row r="21" spans="1:6" ht="13">
      <c r="D21" s="86"/>
      <c r="E21" s="86"/>
      <c r="F21" s="93"/>
    </row>
    <row r="22" spans="1:6" ht="13">
      <c r="B22" s="75" t="s">
        <v>428</v>
      </c>
      <c r="F22" s="94"/>
    </row>
    <row r="23" spans="1:6" ht="13">
      <c r="A23" s="146" t="s">
        <v>137</v>
      </c>
      <c r="B23" s="76" t="s">
        <v>28</v>
      </c>
      <c r="C23" s="77" t="s">
        <v>429</v>
      </c>
      <c r="D23" s="77" t="s">
        <v>430</v>
      </c>
      <c r="E23" s="77" t="s">
        <v>30</v>
      </c>
      <c r="F23" s="95" t="s">
        <v>270</v>
      </c>
    </row>
    <row r="24" spans="1:6" ht="19.149999999999999" customHeight="1">
      <c r="A24" s="147"/>
      <c r="B24" s="96" t="s">
        <v>431</v>
      </c>
      <c r="C24" s="80">
        <v>2</v>
      </c>
      <c r="D24" s="591"/>
      <c r="E24" s="98">
        <f>+E17</f>
        <v>15</v>
      </c>
      <c r="F24" s="97">
        <f>ROUND(C24*D24/E24,0)</f>
        <v>0</v>
      </c>
    </row>
    <row r="25" spans="1:6" ht="14.5" customHeight="1">
      <c r="B25" s="96"/>
      <c r="C25" s="79"/>
      <c r="D25" s="80"/>
      <c r="E25" s="97"/>
      <c r="F25" s="97"/>
    </row>
    <row r="26" spans="1:6" ht="13">
      <c r="D26" s="86"/>
      <c r="E26" s="99" t="s">
        <v>425</v>
      </c>
      <c r="F26" s="88">
        <f>SUM(F24:F25)</f>
        <v>0</v>
      </c>
    </row>
    <row r="27" spans="1:6" ht="13">
      <c r="D27" s="86"/>
      <c r="F27" s="93"/>
    </row>
    <row r="28" spans="1:6" ht="13">
      <c r="B28" s="75" t="s">
        <v>432</v>
      </c>
      <c r="D28" s="100"/>
      <c r="E28" s="101"/>
      <c r="F28" s="94"/>
    </row>
    <row r="29" spans="1:6" s="86" customFormat="1" ht="13">
      <c r="A29" s="146" t="s">
        <v>137</v>
      </c>
      <c r="B29" s="77" t="s">
        <v>28</v>
      </c>
      <c r="C29" s="77" t="s">
        <v>433</v>
      </c>
      <c r="D29" s="77" t="s">
        <v>434</v>
      </c>
      <c r="E29" s="77" t="s">
        <v>30</v>
      </c>
      <c r="F29" s="95" t="s">
        <v>270</v>
      </c>
    </row>
    <row r="30" spans="1:6" ht="14.5">
      <c r="A30" s="147"/>
      <c r="B30" s="102" t="str">
        <f>+'MANO DE OBRA'!B15</f>
        <v>Topografo</v>
      </c>
      <c r="C30" s="103" t="e">
        <f>+'MANO DE OBRA'!H15</f>
        <v>#DIV/0!</v>
      </c>
      <c r="D30" s="91">
        <f>+FP!E27</f>
        <v>0</v>
      </c>
      <c r="E30" s="84">
        <f>+E17</f>
        <v>15</v>
      </c>
      <c r="F30" s="90" t="e">
        <f>ROUND(C30*D30/E30,0)</f>
        <v>#DIV/0!</v>
      </c>
    </row>
    <row r="31" spans="1:6" ht="14.5">
      <c r="A31" s="147"/>
      <c r="B31" s="102" t="str">
        <f>+'MANO DE OBRA'!B14</f>
        <v>Ayudante</v>
      </c>
      <c r="C31" s="103" t="e">
        <f>+'MANO DE OBRA'!H14</f>
        <v>#DIV/0!</v>
      </c>
      <c r="D31" s="91">
        <f>+FP!E27</f>
        <v>0</v>
      </c>
      <c r="E31" s="84">
        <f>+E30</f>
        <v>15</v>
      </c>
      <c r="F31" s="90" t="e">
        <f>ROUND(C31*D31/E31,0)</f>
        <v>#DIV/0!</v>
      </c>
    </row>
    <row r="33" spans="2:6" ht="13">
      <c r="D33" s="86"/>
      <c r="E33" s="87" t="s">
        <v>425</v>
      </c>
      <c r="F33" s="88" t="e">
        <f>SUM(F30:F32)</f>
        <v>#DIV/0!</v>
      </c>
    </row>
    <row r="34" spans="2:6" ht="13">
      <c r="D34" s="86"/>
      <c r="F34" s="94"/>
    </row>
    <row r="35" spans="2:6" ht="12.75" customHeight="1">
      <c r="D35" s="563" t="s">
        <v>435</v>
      </c>
      <c r="E35" s="564"/>
      <c r="F35" s="104" t="e">
        <f>F13+F20+F26+F33</f>
        <v>#DIV/0!</v>
      </c>
    </row>
    <row r="37" spans="2:6">
      <c r="B37" s="105"/>
      <c r="C37"/>
    </row>
    <row r="38" spans="2:6">
      <c r="B38" s="105"/>
      <c r="C38" s="105"/>
    </row>
    <row r="39" spans="2:6">
      <c r="B39" s="105"/>
      <c r="C39" s="106"/>
    </row>
  </sheetData>
  <mergeCells count="3">
    <mergeCell ref="B1:F1"/>
    <mergeCell ref="B4:D4"/>
    <mergeCell ref="D35:E35"/>
  </mergeCells>
  <printOptions horizontalCentered="1"/>
  <pageMargins left="0.70866141732283472" right="0.70866141732283472" top="1.5748031496062993" bottom="0.98425196850393704" header="0.98425196850393704" footer="0.51181102362204722"/>
  <pageSetup scale="81" orientation="portrait" r:id="rId1"/>
  <headerFooter alignWithMargins="0">
    <oddHeader xml:space="preserve">&amp;C&amp;"Arial,Negrita"&amp;12ANÁLISIS DE PRECIOS UNITARIOS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26D9-6787-486F-A0A0-C96930389E7E}">
  <sheetPr>
    <tabColor theme="4" tint="0.59999389629810485"/>
    <pageSetUpPr fitToPage="1"/>
  </sheetPr>
  <dimension ref="A1:G37"/>
  <sheetViews>
    <sheetView showGridLines="0" view="pageBreakPreview" zoomScale="80" zoomScaleNormal="120" zoomScaleSheetLayoutView="80" workbookViewId="0">
      <selection activeCell="A2" sqref="A2:A35"/>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SISFV'!A6</f>
        <v>1.2</v>
      </c>
      <c r="D3" s="70"/>
      <c r="E3" s="70"/>
      <c r="F3" s="70"/>
      <c r="G3" s="71" t="s">
        <v>423</v>
      </c>
    </row>
    <row r="4" spans="1:7" ht="99.65" customHeight="1">
      <c r="B4" s="560" t="str">
        <f>+'PRES. SISFV'!B6</f>
        <v>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v>
      </c>
      <c r="C4" s="566"/>
      <c r="D4" s="566"/>
      <c r="E4" s="567"/>
      <c r="G4" s="72" t="str">
        <f>+'PRES. SISFV'!C6</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25">
      <c r="A8" s="147">
        <v>361</v>
      </c>
      <c r="B8" s="107" t="str">
        <f>VLOOKUP(A8,Materiales3[],3,FALSE)</f>
        <v>Módulo solar fotovoltaico monocristalino tipo PERC "Half Cell" TIER 1 de 670 Wp</v>
      </c>
      <c r="C8" s="79" t="str">
        <f>VLOOKUP(A8,Materiales3[],4,FALSE)</f>
        <v>UN</v>
      </c>
      <c r="D8" s="80">
        <v>3</v>
      </c>
      <c r="E8" s="79">
        <f>VLOOKUP(A8,Materiales3[],5,FALSE)*D8</f>
        <v>115.5</v>
      </c>
      <c r="F8" s="81">
        <f>VLOOKUP(A8,Materiales3[],6,FALSE)</f>
        <v>0</v>
      </c>
      <c r="G8" s="81">
        <f>D8*F8</f>
        <v>0</v>
      </c>
    </row>
    <row r="9" spans="1:7" ht="14.5">
      <c r="A9" s="7">
        <v>3</v>
      </c>
      <c r="B9" s="107" t="str">
        <f>VLOOKUP(A9,Materiales3[],3,FALSE)</f>
        <v>Conector MC4 (Macho o Hembra)</v>
      </c>
      <c r="C9" s="79" t="str">
        <f>VLOOKUP(A9,Materiales3[],4,FALSE)</f>
        <v>UN</v>
      </c>
      <c r="D9" s="80">
        <v>4</v>
      </c>
      <c r="E9" s="79">
        <f>VLOOKUP(A9,Materiales3[],5,FALSE)*D9</f>
        <v>0.4</v>
      </c>
      <c r="F9" s="81">
        <f>VLOOKUP(A9,Materiales3[],6,FALSE)</f>
        <v>0</v>
      </c>
      <c r="G9" s="81">
        <f t="shared" ref="G9" si="0">D9*F9</f>
        <v>0</v>
      </c>
    </row>
    <row r="10" spans="1:7" ht="14.5">
      <c r="A10" s="7">
        <v>397</v>
      </c>
      <c r="B10" s="107" t="str">
        <f>VLOOKUP(A10,Materiales3[],3,FALSE)</f>
        <v>caja de conexión IP 68</v>
      </c>
      <c r="C10" s="79" t="str">
        <f>VLOOKUP(A10,Materiales3[],4,FALSE)</f>
        <v>UN</v>
      </c>
      <c r="D10" s="110">
        <v>1</v>
      </c>
      <c r="E10" s="79">
        <f>VLOOKUP(A10,Materiales3[],5,FALSE)*D10</f>
        <v>0.5</v>
      </c>
      <c r="F10" s="81">
        <f>VLOOKUP(A10,Materiales3[],6,FALSE)</f>
        <v>0</v>
      </c>
      <c r="G10" s="81">
        <f t="shared" ref="G10:G13" si="1">D10*F10</f>
        <v>0</v>
      </c>
    </row>
    <row r="11" spans="1:7" ht="14.5">
      <c r="A11" s="7">
        <v>24</v>
      </c>
      <c r="B11" s="107" t="str">
        <f>VLOOKUP(A11,Materiales3[],3,FALSE)</f>
        <v>Borna para ponchar varios calibres y terminales</v>
      </c>
      <c r="C11" s="79" t="str">
        <f>VLOOKUP(A11,Materiales3[],4,FALSE)</f>
        <v>UN</v>
      </c>
      <c r="D11" s="110">
        <v>2</v>
      </c>
      <c r="E11" s="79">
        <f>VLOOKUP(A11,Materiales3[],5,FALSE)*D11</f>
        <v>1.6E-2</v>
      </c>
      <c r="F11" s="81">
        <f>VLOOKUP(A11,Materiales3[],6,FALSE)</f>
        <v>0</v>
      </c>
      <c r="G11" s="81">
        <f t="shared" si="1"/>
        <v>0</v>
      </c>
    </row>
    <row r="12" spans="1:7" ht="14.5">
      <c r="A12" s="7">
        <v>132</v>
      </c>
      <c r="B12" s="107" t="str">
        <f>VLOOKUP(A12,Materiales3[],3,FALSE)&amp;" Verde"</f>
        <v>Cable Cu THHN 10 AWG Verde</v>
      </c>
      <c r="C12" s="79" t="str">
        <f>VLOOKUP(A12,Materiales3[],4,FALSE)</f>
        <v>ML</v>
      </c>
      <c r="D12" s="110">
        <v>2.52</v>
      </c>
      <c r="E12" s="79">
        <f>VLOOKUP(A12,Materiales3[],5,FALSE)*D12</f>
        <v>0.14868000000000001</v>
      </c>
      <c r="F12" s="81">
        <f>VLOOKUP(A12,Materiales3[],6,FALSE)</f>
        <v>0</v>
      </c>
      <c r="G12" s="81">
        <f t="shared" ref="G12" si="2">D12*F12</f>
        <v>0</v>
      </c>
    </row>
    <row r="13" spans="1:7" ht="14.5">
      <c r="A13" s="7">
        <v>234</v>
      </c>
      <c r="B13" s="107" t="str">
        <f>VLOOKUP(A13,Materiales3[],3,FALSE)</f>
        <v>Cable Cu solar XLPE 6mm 1kV 120 °C</v>
      </c>
      <c r="C13" s="79" t="str">
        <f>VLOOKUP(A13,Materiales3[],4,FALSE)</f>
        <v>ML</v>
      </c>
      <c r="D13" s="110">
        <f>1.33*4</f>
        <v>5.32</v>
      </c>
      <c r="E13" s="79">
        <f>VLOOKUP(A13,Materiales3[],5,FALSE)*D13</f>
        <v>0.34686400000000001</v>
      </c>
      <c r="F13" s="81">
        <f>VLOOKUP(A13,Materiales3[],6,FALSE)</f>
        <v>0</v>
      </c>
      <c r="G13" s="81">
        <f t="shared" si="1"/>
        <v>0</v>
      </c>
    </row>
    <row r="14" spans="1:7" ht="13">
      <c r="D14" s="86"/>
      <c r="E14" s="86"/>
      <c r="F14" s="87" t="s">
        <v>425</v>
      </c>
      <c r="G14" s="88">
        <f>SUM(G8:G13)</f>
        <v>0</v>
      </c>
    </row>
    <row r="15" spans="1:7">
      <c r="G15" s="111"/>
    </row>
    <row r="16" spans="1:7" ht="13">
      <c r="B16" s="89" t="s">
        <v>426</v>
      </c>
      <c r="G16" s="112"/>
    </row>
    <row r="17" spans="1:7" ht="13">
      <c r="A17" s="146" t="s">
        <v>137</v>
      </c>
      <c r="B17" s="76" t="s">
        <v>28</v>
      </c>
      <c r="C17" s="77" t="s">
        <v>436</v>
      </c>
      <c r="D17" s="77" t="s">
        <v>427</v>
      </c>
      <c r="E17" s="77"/>
      <c r="F17" s="77" t="s">
        <v>30</v>
      </c>
      <c r="G17" s="77" t="s">
        <v>270</v>
      </c>
    </row>
    <row r="18" spans="1:7" ht="14.5">
      <c r="A18" s="147">
        <v>1</v>
      </c>
      <c r="B18" s="82" t="str">
        <f>VLOOKUP(A18,Equipoyherramienta[],2,FALSE)</f>
        <v>Herramienta menor</v>
      </c>
      <c r="C18" s="83" t="str">
        <f>VLOOKUP(A18,Equipoyherramienta[],3,FALSE)</f>
        <v>UN</v>
      </c>
      <c r="D18" s="90">
        <f>VLOOKUP(A18,Equipoyherramienta[],4,FALSE)</f>
        <v>0</v>
      </c>
      <c r="E18" s="90"/>
      <c r="F18" s="109">
        <f>+RENDIMIENTOS!$C$15/3</f>
        <v>3</v>
      </c>
      <c r="G18" s="90">
        <f>ROUND(D18/F18,0)</f>
        <v>0</v>
      </c>
    </row>
    <row r="19" spans="1:7">
      <c r="B19" s="82"/>
      <c r="C19" s="83"/>
      <c r="D19" s="85"/>
      <c r="E19" s="85"/>
      <c r="F19" s="91"/>
      <c r="G19" s="92"/>
    </row>
    <row r="20" spans="1:7">
      <c r="B20" s="82"/>
      <c r="C20" s="83"/>
      <c r="D20" s="85"/>
      <c r="E20" s="85"/>
      <c r="F20" s="91"/>
      <c r="G20" s="92"/>
    </row>
    <row r="21" spans="1:7" ht="13">
      <c r="D21" s="86"/>
      <c r="E21" s="86"/>
      <c r="F21" s="87" t="s">
        <v>425</v>
      </c>
      <c r="G21" s="88">
        <f>SUM(G18:G20)</f>
        <v>0</v>
      </c>
    </row>
    <row r="22" spans="1:7" ht="13">
      <c r="D22" s="86"/>
      <c r="E22" s="86"/>
      <c r="F22" s="86"/>
      <c r="G22" s="93"/>
    </row>
    <row r="23" spans="1:7" ht="13">
      <c r="B23" s="75" t="s">
        <v>428</v>
      </c>
      <c r="G23" s="94"/>
    </row>
    <row r="24" spans="1:7" ht="13">
      <c r="A24" s="146" t="s">
        <v>137</v>
      </c>
      <c r="B24" s="76" t="s">
        <v>28</v>
      </c>
      <c r="C24" s="77" t="s">
        <v>268</v>
      </c>
      <c r="D24" s="77" t="s">
        <v>352</v>
      </c>
      <c r="E24" s="77"/>
      <c r="F24" s="77" t="s">
        <v>437</v>
      </c>
      <c r="G24" s="95" t="s">
        <v>270</v>
      </c>
    </row>
    <row r="25" spans="1:7" ht="50">
      <c r="A25" s="147">
        <v>6</v>
      </c>
      <c r="B25" s="96" t="str">
        <f>VLOOKUP(A25,Transp.[],2,FALSE)</f>
        <v>Carga terrestre desde Barranquilla hasta Usuario, incluye cargues, descargues, cruces de río, transporte semoviente, transporte en vehículo de carga pesada y cualquier otro tranposte.</v>
      </c>
      <c r="C25" s="79" t="s">
        <v>438</v>
      </c>
      <c r="D25" s="80">
        <f>SUM(E8:E13)</f>
        <v>116.91154400000001</v>
      </c>
      <c r="E25" s="80"/>
      <c r="F25" s="97">
        <f>VLOOKUP(A25,Transp.[],6,FALSE)</f>
        <v>0</v>
      </c>
      <c r="G25" s="97">
        <f>D25*F25</f>
        <v>0</v>
      </c>
    </row>
    <row r="26" spans="1:7" ht="13.15" customHeight="1">
      <c r="A26" s="147"/>
      <c r="B26" s="96"/>
      <c r="C26" s="79"/>
      <c r="D26" s="80"/>
      <c r="E26" s="80"/>
      <c r="F26" s="97"/>
      <c r="G26" s="97"/>
    </row>
    <row r="27" spans="1:7" ht="13.15" customHeight="1">
      <c r="A27" s="147"/>
      <c r="B27" s="96"/>
      <c r="C27" s="79"/>
      <c r="D27" s="80"/>
      <c r="E27" s="80"/>
      <c r="F27" s="97"/>
      <c r="G27" s="97"/>
    </row>
    <row r="28" spans="1:7" ht="13">
      <c r="D28" s="86"/>
      <c r="E28" s="86"/>
      <c r="F28" s="99" t="s">
        <v>425</v>
      </c>
      <c r="G28" s="88">
        <f>SUM(G25:G27)</f>
        <v>0</v>
      </c>
    </row>
    <row r="30" spans="1:7" ht="13">
      <c r="B30" s="75" t="s">
        <v>432</v>
      </c>
      <c r="D30" s="100"/>
      <c r="E30" s="100"/>
      <c r="F30" s="101"/>
      <c r="G30" s="94"/>
    </row>
    <row r="31" spans="1:7" s="86" customFormat="1" ht="13">
      <c r="A31" s="146" t="s">
        <v>137</v>
      </c>
      <c r="B31" s="77" t="s">
        <v>28</v>
      </c>
      <c r="C31" s="77" t="s">
        <v>433</v>
      </c>
      <c r="D31" s="77" t="s">
        <v>434</v>
      </c>
      <c r="E31" s="77"/>
      <c r="F31" s="77" t="s">
        <v>30</v>
      </c>
      <c r="G31" s="95" t="s">
        <v>270</v>
      </c>
    </row>
    <row r="32" spans="1:7" ht="14.5">
      <c r="A32" s="147">
        <v>1</v>
      </c>
      <c r="B32" s="102" t="str">
        <f>VLOOKUP(A32,ManoObra[],2,FALSE)</f>
        <v>Electricista</v>
      </c>
      <c r="C32" s="103" t="e">
        <f>VLOOKUP(A32,ManoObra[],8,FALSE)</f>
        <v>#DIV/0!</v>
      </c>
      <c r="D32" s="91">
        <f>+FP!E27</f>
        <v>0</v>
      </c>
      <c r="E32" s="91"/>
      <c r="F32" s="109">
        <f>F18</f>
        <v>3</v>
      </c>
      <c r="G32" s="90" t="e">
        <f>ROUND(C32*D32/F32,0)</f>
        <v>#DIV/0!</v>
      </c>
    </row>
    <row r="33" spans="1:7" ht="14.5">
      <c r="A33" s="147">
        <v>2</v>
      </c>
      <c r="B33" s="102" t="str">
        <f>VLOOKUP(A33,ManoObra[],2,FALSE)</f>
        <v>Ayudante</v>
      </c>
      <c r="C33" s="103" t="e">
        <f>VLOOKUP(A33,ManoObra[],8,FALSE)</f>
        <v>#DIV/0!</v>
      </c>
      <c r="D33" s="91">
        <f>+FP!E27</f>
        <v>0</v>
      </c>
      <c r="E33" s="91"/>
      <c r="F33" s="109">
        <f>F18</f>
        <v>3</v>
      </c>
      <c r="G33" s="90" t="e">
        <f>ROUND(C33*D33/F33,0)</f>
        <v>#DIV/0!</v>
      </c>
    </row>
    <row r="34" spans="1:7" ht="14.5">
      <c r="A34" s="147"/>
      <c r="B34" s="108"/>
      <c r="C34" s="103"/>
      <c r="D34" s="91"/>
      <c r="E34" s="91"/>
      <c r="F34" s="84"/>
      <c r="G34" s="90"/>
    </row>
    <row r="35" spans="1:7" ht="13">
      <c r="D35" s="86"/>
      <c r="E35" s="86"/>
      <c r="F35" s="99" t="s">
        <v>425</v>
      </c>
      <c r="G35" s="113" t="e">
        <f>SUM(G32:G34)</f>
        <v>#DIV/0!</v>
      </c>
    </row>
    <row r="36" spans="1:7" ht="13">
      <c r="D36" s="86"/>
      <c r="E36" s="86"/>
      <c r="G36" s="94"/>
    </row>
    <row r="37" spans="1:7" ht="12.75" customHeight="1">
      <c r="B37" s="86"/>
      <c r="D37" s="563" t="s">
        <v>435</v>
      </c>
      <c r="E37" s="565"/>
      <c r="F37" s="564"/>
      <c r="G37" s="104" t="e">
        <f>G14+G21+G28+G35</f>
        <v>#DIV/0!</v>
      </c>
    </row>
  </sheetData>
  <mergeCells count="3">
    <mergeCell ref="B1:G1"/>
    <mergeCell ref="D37:F37"/>
    <mergeCell ref="B4:E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ED31-C95E-4413-BF3B-1A84DB915BAD}">
  <sheetPr>
    <tabColor theme="4" tint="0.59999389629810485"/>
    <pageSetUpPr fitToPage="1"/>
  </sheetPr>
  <dimension ref="A1:G41"/>
  <sheetViews>
    <sheetView showGridLines="0" view="pageBreakPreview" zoomScale="80" zoomScaleNormal="120" zoomScaleSheetLayoutView="80" workbookViewId="0">
      <selection activeCell="A4" sqref="A4:A41"/>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SISFV'!A7</f>
        <v>1.3</v>
      </c>
      <c r="D3" s="70"/>
      <c r="E3" s="70"/>
      <c r="F3" s="70"/>
      <c r="G3" s="71" t="s">
        <v>423</v>
      </c>
    </row>
    <row r="4" spans="1:7" ht="99.65" customHeight="1">
      <c r="B4" s="560" t="str">
        <f>+'PRES. SISFV'!B7</f>
        <v>Acometida principal eléctrica subterránea desde los módulos solares hasta el gabinete de diseño especial. Incluye: Hasta 6 m de tubería PVC de 3/4" inmersa dentro del tubo de soporte del panel y subterránea, hasta 2 m de tubería IMC de 3/4" a la vista hasta llegar al gabinete, 2 curvas PVC de 3/4", 2 terminales para tubo IMC de 3/4", 2 curvas galvanizada IMC de 3/4" y hasta 16 m de cable 10 AWG XLPE, 6 m de cable de cobre color verde 6 AWG THHN y accesorios de conexión.</v>
      </c>
      <c r="C4" s="566"/>
      <c r="D4" s="566"/>
      <c r="E4" s="567"/>
      <c r="G4" s="72" t="str">
        <f>+'PRES. SISFV'!C7</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147">
        <v>111</v>
      </c>
      <c r="B8" s="107" t="str">
        <f>VLOOKUP(A8,Materiales3[],3,FALSE)</f>
        <v>Cinta roja</v>
      </c>
      <c r="C8" s="79" t="str">
        <f>VLOOKUP(A8,Materiales3[],4,FALSE)</f>
        <v>ML</v>
      </c>
      <c r="D8" s="80">
        <v>6</v>
      </c>
      <c r="E8" s="79">
        <f>VLOOKUP(A8,Materiales3[],5,FALSE)*D8</f>
        <v>0.06</v>
      </c>
      <c r="F8" s="81">
        <f>VLOOKUP(A8,Materiales3[],6,FALSE)</f>
        <v>0</v>
      </c>
      <c r="G8" s="81">
        <f>D8*F8</f>
        <v>0</v>
      </c>
    </row>
    <row r="9" spans="1:7" ht="14.5">
      <c r="A9" s="7">
        <v>83</v>
      </c>
      <c r="B9" s="107" t="str">
        <f>VLOOKUP(A9,Materiales3[],3,FALSE)</f>
        <v>Tuberia conduit PVC tipo A 3/4"</v>
      </c>
      <c r="C9" s="79" t="str">
        <f>VLOOKUP(A9,Materiales3[],4,FALSE)</f>
        <v>ML</v>
      </c>
      <c r="D9" s="80">
        <v>6</v>
      </c>
      <c r="E9" s="79">
        <f>VLOOKUP(A9,Materiales3[],5,FALSE)*D9</f>
        <v>1.1599999999999999</v>
      </c>
      <c r="F9" s="81">
        <f>VLOOKUP(A9,Materiales3[],6,FALSE)</f>
        <v>0</v>
      </c>
      <c r="G9" s="81">
        <f t="shared" ref="G9:G11" si="0">D9*F9</f>
        <v>0</v>
      </c>
    </row>
    <row r="10" spans="1:7" ht="14.5">
      <c r="A10" s="7">
        <v>133</v>
      </c>
      <c r="B10" s="107" t="str">
        <f>VLOOKUP(A10,Materiales3[],3,FALSE)</f>
        <v>Uniones, curvas y terminales IMC. Varios calibres</v>
      </c>
      <c r="C10" s="79" t="str">
        <f>VLOOKUP(A10,Materiales3[],4,FALSE)</f>
        <v>UN</v>
      </c>
      <c r="D10" s="110">
        <v>1</v>
      </c>
      <c r="E10" s="79">
        <f>VLOOKUP(A10,Materiales3[],5,FALSE)*D10</f>
        <v>0.18</v>
      </c>
      <c r="F10" s="81">
        <f>VLOOKUP(A10,Materiales3[],6,FALSE)</f>
        <v>0</v>
      </c>
      <c r="G10" s="81">
        <f t="shared" si="0"/>
        <v>0</v>
      </c>
    </row>
    <row r="11" spans="1:7" ht="14.5">
      <c r="A11" s="7">
        <v>134</v>
      </c>
      <c r="B11" s="107" t="str">
        <f>VLOOKUP(A11,Materiales3[],3,FALSE)</f>
        <v>Tuberia conduit IMC 3/4"</v>
      </c>
      <c r="C11" s="79" t="str">
        <f>VLOOKUP(A11,Materiales3[],4,FALSE)</f>
        <v>ML</v>
      </c>
      <c r="D11" s="110">
        <v>2</v>
      </c>
      <c r="E11" s="79">
        <f>VLOOKUP(A11,Materiales3[],5,FALSE)*D11</f>
        <v>3.4466666666666668</v>
      </c>
      <c r="F11" s="81">
        <f>VLOOKUP(A11,Materiales3[],6,FALSE)</f>
        <v>0</v>
      </c>
      <c r="G11" s="81">
        <f t="shared" si="0"/>
        <v>0</v>
      </c>
    </row>
    <row r="12" spans="1:7" ht="14.5">
      <c r="A12" s="7">
        <v>406</v>
      </c>
      <c r="B12" s="107" t="str">
        <f>VLOOKUP(A12,Materiales3[],3,FALSE)</f>
        <v>Unión conduit metalica EMT 3/4"</v>
      </c>
      <c r="C12" s="79" t="str">
        <f>VLOOKUP(A12,Materiales3[],4,FALSE)</f>
        <v>UN</v>
      </c>
      <c r="D12" s="110">
        <v>2</v>
      </c>
      <c r="E12" s="79">
        <f>VLOOKUP(A12,Materiales3[],5,FALSE)*D12</f>
        <v>0.11600000000000001</v>
      </c>
      <c r="F12" s="81">
        <f>VLOOKUP(A12,Materiales3[],6,FALSE)</f>
        <v>0</v>
      </c>
      <c r="G12" s="81">
        <f t="shared" ref="G12" si="1">D12*F12</f>
        <v>0</v>
      </c>
    </row>
    <row r="13" spans="1:7" ht="14.5">
      <c r="A13" s="7">
        <v>407</v>
      </c>
      <c r="B13" s="107" t="str">
        <f>VLOOKUP(A13,Materiales3[],3,FALSE)</f>
        <v>Terminal conduit metalica EMT 3/4"</v>
      </c>
      <c r="C13" s="79" t="str">
        <f>VLOOKUP(A13,Materiales3[],4,FALSE)</f>
        <v>UN</v>
      </c>
      <c r="D13" s="110">
        <v>2</v>
      </c>
      <c r="E13" s="79">
        <f>VLOOKUP(A13,Materiales3[],5,FALSE)*D13</f>
        <v>0.11600000000000001</v>
      </c>
      <c r="F13" s="81">
        <f>VLOOKUP(A13,Materiales3[],6,FALSE)</f>
        <v>0</v>
      </c>
      <c r="G13" s="81">
        <f t="shared" ref="G13" si="2">D13*F13</f>
        <v>0</v>
      </c>
    </row>
    <row r="14" spans="1:7" ht="14.5">
      <c r="A14" s="7">
        <v>411</v>
      </c>
      <c r="B14" s="107" t="str">
        <f>VLOOKUP(A14,Materiales3[],3,FALSE)</f>
        <v>Curva 90 x 3/4 pulgada conduit PVC</v>
      </c>
      <c r="C14" s="79" t="str">
        <f>VLOOKUP(A14,Materiales3[],4,FALSE)</f>
        <v>UN</v>
      </c>
      <c r="D14" s="110">
        <v>2</v>
      </c>
      <c r="E14" s="79">
        <f>VLOOKUP(A14,Materiales3[],5,FALSE)*D14</f>
        <v>0.06</v>
      </c>
      <c r="F14" s="81">
        <f>VLOOKUP(A14,Materiales3[],6,FALSE)</f>
        <v>0</v>
      </c>
      <c r="G14" s="81">
        <f t="shared" ref="G14:G17" si="3">D14*F14</f>
        <v>0</v>
      </c>
    </row>
    <row r="15" spans="1:7" ht="14.5">
      <c r="A15" s="7">
        <v>24</v>
      </c>
      <c r="B15" s="107" t="str">
        <f>VLOOKUP(A15,Materiales3[],3,FALSE)</f>
        <v>Borna para ponchar varios calibres y terminales</v>
      </c>
      <c r="C15" s="79" t="str">
        <f>VLOOKUP(A15,Materiales3[],4,FALSE)</f>
        <v>UN</v>
      </c>
      <c r="D15" s="110">
        <v>2</v>
      </c>
      <c r="E15" s="79">
        <f>VLOOKUP(A15,Materiales3[],5,FALSE)*D15</f>
        <v>1.6E-2</v>
      </c>
      <c r="F15" s="81">
        <f>VLOOKUP(A15,Materiales3[],6,FALSE)</f>
        <v>0</v>
      </c>
      <c r="G15" s="81">
        <f t="shared" si="3"/>
        <v>0</v>
      </c>
    </row>
    <row r="16" spans="1:7" ht="14.5">
      <c r="A16" s="147">
        <v>241</v>
      </c>
      <c r="B16" s="107" t="str">
        <f>VLOOKUP(A16,Materiales3[],3,FALSE)</f>
        <v>Cable Cu THHN 6 AWG</v>
      </c>
      <c r="C16" s="79" t="str">
        <f>VLOOKUP(A16,Materiales3[],4,FALSE)</f>
        <v>ML</v>
      </c>
      <c r="D16" s="110">
        <f>+(3+3)*1</f>
        <v>6</v>
      </c>
      <c r="E16" s="79">
        <f>VLOOKUP(A16,Materiales3[],5,FALSE)*D16</f>
        <v>1.008</v>
      </c>
      <c r="F16" s="81">
        <f>VLOOKUP(A16,Materiales3[],6,FALSE)</f>
        <v>0</v>
      </c>
      <c r="G16" s="81">
        <f t="shared" si="3"/>
        <v>0</v>
      </c>
    </row>
    <row r="17" spans="1:7" ht="14.5">
      <c r="A17" s="7">
        <v>131</v>
      </c>
      <c r="B17" s="107" t="str">
        <f>VLOOKUP(A17,Materiales3[],3,FALSE)</f>
        <v>Cable Cu solar XLPE 10 AWG 1kV 120 °C</v>
      </c>
      <c r="C17" s="79" t="str">
        <f>VLOOKUP(A17,Materiales3[],4,FALSE)</f>
        <v>ML</v>
      </c>
      <c r="D17" s="110">
        <f>+(2+3+3)*2</f>
        <v>16</v>
      </c>
      <c r="E17" s="79">
        <f>VLOOKUP(A17,Materiales3[],5,FALSE)*D17</f>
        <v>0.93120000000000003</v>
      </c>
      <c r="F17" s="81">
        <f>VLOOKUP(A17,Materiales3[],6,FALSE)</f>
        <v>0</v>
      </c>
      <c r="G17" s="81">
        <f t="shared" si="3"/>
        <v>0</v>
      </c>
    </row>
    <row r="18" spans="1:7" ht="13">
      <c r="D18" s="86"/>
      <c r="E18" s="86"/>
      <c r="F18" s="87" t="s">
        <v>425</v>
      </c>
      <c r="G18" s="88">
        <f>SUM(G8:G17)</f>
        <v>0</v>
      </c>
    </row>
    <row r="19" spans="1:7">
      <c r="G19" s="111"/>
    </row>
    <row r="20" spans="1:7" ht="13">
      <c r="B20" s="89" t="s">
        <v>426</v>
      </c>
      <c r="G20" s="112"/>
    </row>
    <row r="21" spans="1:7" ht="13">
      <c r="A21" s="146" t="s">
        <v>137</v>
      </c>
      <c r="B21" s="76" t="s">
        <v>28</v>
      </c>
      <c r="C21" s="77" t="s">
        <v>436</v>
      </c>
      <c r="D21" s="77" t="s">
        <v>427</v>
      </c>
      <c r="E21" s="77"/>
      <c r="F21" s="77" t="s">
        <v>30</v>
      </c>
      <c r="G21" s="77" t="s">
        <v>270</v>
      </c>
    </row>
    <row r="22" spans="1:7" ht="14.5">
      <c r="A22" s="147">
        <v>1</v>
      </c>
      <c r="B22" s="82" t="str">
        <f>VLOOKUP(A22,Equipoyherramienta[],2,FALSE)</f>
        <v>Herramienta menor</v>
      </c>
      <c r="C22" s="83" t="str">
        <f>VLOOKUP(A22,Equipoyherramienta[],3,FALSE)</f>
        <v>UN</v>
      </c>
      <c r="D22" s="90">
        <f>VLOOKUP(A22,Equipoyherramienta[],4,FALSE)</f>
        <v>0</v>
      </c>
      <c r="E22" s="90"/>
      <c r="F22" s="109">
        <f>+RENDIMIENTOS!C16-0.5</f>
        <v>2.5</v>
      </c>
      <c r="G22" s="90">
        <f>ROUND(D22/F22,0)</f>
        <v>0</v>
      </c>
    </row>
    <row r="23" spans="1:7">
      <c r="B23" s="82"/>
      <c r="C23" s="83"/>
      <c r="D23" s="85"/>
      <c r="E23" s="85"/>
      <c r="F23" s="91"/>
      <c r="G23" s="92"/>
    </row>
    <row r="24" spans="1:7">
      <c r="B24" s="82"/>
      <c r="C24" s="83"/>
      <c r="D24" s="85"/>
      <c r="E24" s="85"/>
      <c r="F24" s="91"/>
      <c r="G24" s="92"/>
    </row>
    <row r="25" spans="1:7" ht="13">
      <c r="D25" s="86"/>
      <c r="E25" s="86"/>
      <c r="F25" s="87" t="s">
        <v>425</v>
      </c>
      <c r="G25" s="88">
        <f>SUM(G22:G24)</f>
        <v>0</v>
      </c>
    </row>
    <row r="26" spans="1:7" ht="13">
      <c r="D26" s="86"/>
      <c r="E26" s="86"/>
      <c r="F26" s="86"/>
      <c r="G26" s="93"/>
    </row>
    <row r="27" spans="1:7" ht="13">
      <c r="B27" s="75" t="s">
        <v>428</v>
      </c>
      <c r="G27" s="94"/>
    </row>
    <row r="28" spans="1:7" ht="13">
      <c r="A28" s="146" t="s">
        <v>137</v>
      </c>
      <c r="B28" s="76" t="s">
        <v>28</v>
      </c>
      <c r="C28" s="77" t="s">
        <v>268</v>
      </c>
      <c r="D28" s="77" t="s">
        <v>352</v>
      </c>
      <c r="E28" s="77"/>
      <c r="F28" s="77" t="s">
        <v>437</v>
      </c>
      <c r="G28" s="95" t="s">
        <v>270</v>
      </c>
    </row>
    <row r="29" spans="1:7" ht="50">
      <c r="A29" s="147">
        <v>6</v>
      </c>
      <c r="B29" s="96" t="str">
        <f>VLOOKUP(A29,Transp.[],2,FALSE)</f>
        <v>Carga terrestre desde Barranquilla hasta Usuario, incluye cargues, descargues, cruces de río, transporte semoviente, transporte en vehículo de carga pesada y cualquier otro tranposte.</v>
      </c>
      <c r="C29" s="79" t="s">
        <v>438</v>
      </c>
      <c r="D29" s="80">
        <f>SUM(E8:E17)</f>
        <v>7.0938666666666652</v>
      </c>
      <c r="E29" s="80"/>
      <c r="F29" s="97">
        <f>VLOOKUP(A29,Transp.[],6,FALSE)</f>
        <v>0</v>
      </c>
      <c r="G29" s="97">
        <f>D29*F29</f>
        <v>0</v>
      </c>
    </row>
    <row r="30" spans="1:7" ht="13.15" customHeight="1">
      <c r="A30" s="147"/>
      <c r="B30" s="96"/>
      <c r="C30" s="79"/>
      <c r="D30" s="80"/>
      <c r="E30" s="80"/>
      <c r="F30" s="97"/>
      <c r="G30" s="97"/>
    </row>
    <row r="31" spans="1:7" ht="13.15" customHeight="1">
      <c r="A31" s="147"/>
      <c r="B31" s="96"/>
      <c r="C31" s="79"/>
      <c r="D31" s="80"/>
      <c r="E31" s="80"/>
      <c r="F31" s="97"/>
      <c r="G31" s="97"/>
    </row>
    <row r="32" spans="1:7" ht="13">
      <c r="D32" s="86"/>
      <c r="E32" s="86"/>
      <c r="F32" s="99" t="s">
        <v>425</v>
      </c>
      <c r="G32" s="88">
        <f>SUM(G29:G31)</f>
        <v>0</v>
      </c>
    </row>
    <row r="34" spans="1:7" ht="13">
      <c r="B34" s="75" t="s">
        <v>432</v>
      </c>
      <c r="D34" s="100"/>
      <c r="E34" s="100"/>
      <c r="F34" s="101"/>
      <c r="G34" s="94"/>
    </row>
    <row r="35" spans="1:7" s="86" customFormat="1" ht="13">
      <c r="A35" s="146" t="s">
        <v>137</v>
      </c>
      <c r="B35" s="77" t="s">
        <v>28</v>
      </c>
      <c r="C35" s="77" t="s">
        <v>433</v>
      </c>
      <c r="D35" s="77" t="s">
        <v>434</v>
      </c>
      <c r="E35" s="77"/>
      <c r="F35" s="77" t="s">
        <v>30</v>
      </c>
      <c r="G35" s="95" t="s">
        <v>270</v>
      </c>
    </row>
    <row r="36" spans="1:7" ht="14.5">
      <c r="A36" s="147">
        <v>1</v>
      </c>
      <c r="B36" s="102" t="str">
        <f>VLOOKUP(A36,ManoObra[],2,FALSE)</f>
        <v>Electricista</v>
      </c>
      <c r="C36" s="103" t="e">
        <f>VLOOKUP(A36,ManoObra[],8,FALSE)</f>
        <v>#DIV/0!</v>
      </c>
      <c r="D36" s="91">
        <f>+FP!E27</f>
        <v>0</v>
      </c>
      <c r="E36" s="91"/>
      <c r="F36" s="109">
        <f>F22</f>
        <v>2.5</v>
      </c>
      <c r="G36" s="90" t="e">
        <f>ROUND(C36*D36/F36,0)</f>
        <v>#DIV/0!</v>
      </c>
    </row>
    <row r="37" spans="1:7" ht="14.5">
      <c r="A37" s="147">
        <v>2</v>
      </c>
      <c r="B37" s="102" t="str">
        <f>VLOOKUP(A37,ManoObra[],2,FALSE)</f>
        <v>Ayudante</v>
      </c>
      <c r="C37" s="103" t="e">
        <f>VLOOKUP(A37,ManoObra[],8,FALSE)</f>
        <v>#DIV/0!</v>
      </c>
      <c r="D37" s="91">
        <f>+FP!E27</f>
        <v>0</v>
      </c>
      <c r="E37" s="91"/>
      <c r="F37" s="109">
        <f>F22</f>
        <v>2.5</v>
      </c>
      <c r="G37" s="90" t="e">
        <f>ROUND(C37*D37/F37,0)</f>
        <v>#DIV/0!</v>
      </c>
    </row>
    <row r="38" spans="1:7" ht="14.5">
      <c r="A38" s="147"/>
      <c r="B38" s="108"/>
      <c r="C38" s="103"/>
      <c r="D38" s="91"/>
      <c r="E38" s="91"/>
      <c r="F38" s="84"/>
      <c r="G38" s="90"/>
    </row>
    <row r="39" spans="1:7" ht="13">
      <c r="D39" s="86"/>
      <c r="E39" s="86"/>
      <c r="F39" s="99" t="s">
        <v>425</v>
      </c>
      <c r="G39" s="113" t="e">
        <f>SUM(G36:G38)</f>
        <v>#DIV/0!</v>
      </c>
    </row>
    <row r="40" spans="1:7" ht="13">
      <c r="D40" s="86"/>
      <c r="E40" s="86"/>
      <c r="G40" s="94"/>
    </row>
    <row r="41" spans="1:7" ht="12.75" customHeight="1">
      <c r="B41" s="86"/>
      <c r="D41" s="563" t="s">
        <v>435</v>
      </c>
      <c r="E41" s="565"/>
      <c r="F41" s="564"/>
      <c r="G41" s="104" t="e">
        <f>G18+G25+G32+G39</f>
        <v>#DIV/0!</v>
      </c>
    </row>
  </sheetData>
  <mergeCells count="3">
    <mergeCell ref="B1:G1"/>
    <mergeCell ref="B4:E4"/>
    <mergeCell ref="D41:F41"/>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85A5-4E90-4457-B129-BB906589963D}">
  <sheetPr>
    <tabColor theme="4" tint="0.59999389629810485"/>
    <pageSetUpPr fitToPage="1"/>
  </sheetPr>
  <dimension ref="A1:G48"/>
  <sheetViews>
    <sheetView showGridLines="0" view="pageBreakPreview" zoomScale="80" zoomScaleNormal="120" zoomScaleSheetLayoutView="80" workbookViewId="0">
      <selection activeCell="A42" sqref="A42"/>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SISFV'!A8</f>
        <v>1.4</v>
      </c>
      <c r="D3" s="70"/>
      <c r="E3" s="70"/>
      <c r="F3" s="70"/>
      <c r="G3" s="71" t="s">
        <v>423</v>
      </c>
    </row>
    <row r="4" spans="1:7" ht="175.15" customHeight="1">
      <c r="B4" s="560" t="str">
        <f>+'PRES. SISFV'!B8</f>
        <v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v>
      </c>
      <c r="C4" s="566"/>
      <c r="D4" s="566"/>
      <c r="E4" s="567"/>
      <c r="G4" s="72" t="str">
        <f>+'PRES. SISFV'!C8</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14.5">
      <c r="A8" s="147">
        <v>135</v>
      </c>
      <c r="B8" s="107" t="str">
        <f>VLOOKUP(A8,Materiales3[],3,FALSE)</f>
        <v>Barra bornera tierra con soporte plástico riel din de 10 cm</v>
      </c>
      <c r="C8" s="79" t="str">
        <f>VLOOKUP(A8,Materiales3[],4,FALSE)</f>
        <v>UN</v>
      </c>
      <c r="D8" s="79">
        <v>2</v>
      </c>
      <c r="E8" s="79">
        <f>VLOOKUP(A8,Materiales3[],5,FALSE)*D8</f>
        <v>1</v>
      </c>
      <c r="F8" s="81">
        <f>VLOOKUP(A8,Materiales3[],6,FALSE)</f>
        <v>0</v>
      </c>
      <c r="G8" s="81">
        <f>D8*F8</f>
        <v>0</v>
      </c>
    </row>
    <row r="9" spans="1:7" ht="14.5">
      <c r="A9" s="147">
        <v>136</v>
      </c>
      <c r="B9" s="107" t="str">
        <f>VLOOKUP(A9,Materiales3[],3,FALSE)</f>
        <v>Barra de cobre 12x2x100 mm (incluye aisladores)</v>
      </c>
      <c r="C9" s="79" t="str">
        <f>VLOOKUP(A9,Materiales3[],4,FALSE)</f>
        <v>UN</v>
      </c>
      <c r="D9" s="79">
        <v>3</v>
      </c>
      <c r="E9" s="79">
        <f>VLOOKUP(A9,Materiales3[],5,FALSE)*D9</f>
        <v>3</v>
      </c>
      <c r="F9" s="81">
        <f>VLOOKUP(A9,Materiales3[],6,FALSE)</f>
        <v>0</v>
      </c>
      <c r="G9" s="81">
        <f t="shared" ref="G9:G24" si="0">D9*F9</f>
        <v>0</v>
      </c>
    </row>
    <row r="10" spans="1:7" ht="14.5">
      <c r="A10" s="147">
        <v>137</v>
      </c>
      <c r="B10" s="107" t="str">
        <f>VLOOKUP(A10,Materiales3[],3,FALSE)</f>
        <v xml:space="preserve">Canaleta ranurada dexon 25 x 40 mm </v>
      </c>
      <c r="C10" s="79" t="str">
        <f>VLOOKUP(A10,Materiales3[],4,FALSE)</f>
        <v>ML</v>
      </c>
      <c r="D10" s="79">
        <v>2</v>
      </c>
      <c r="E10" s="79">
        <f>VLOOKUP(A10,Materiales3[],5,FALSE)*D10</f>
        <v>0.2</v>
      </c>
      <c r="F10" s="81">
        <f>VLOOKUP(A10,Materiales3[],6,FALSE)</f>
        <v>0</v>
      </c>
      <c r="G10" s="81">
        <f t="shared" si="0"/>
        <v>0</v>
      </c>
    </row>
    <row r="11" spans="1:7" ht="14.5">
      <c r="A11" s="147">
        <v>138</v>
      </c>
      <c r="B11" s="107" t="str">
        <f>VLOOKUP(A11,Materiales3[],3,FALSE)</f>
        <v>Cinta de amarre dexon 10 cm color blanco</v>
      </c>
      <c r="C11" s="79" t="str">
        <f>VLOOKUP(A11,Materiales3[],4,FALSE)</f>
        <v>UN</v>
      </c>
      <c r="D11" s="79">
        <v>15</v>
      </c>
      <c r="E11" s="79">
        <f>VLOOKUP(A11,Materiales3[],5,FALSE)*D11</f>
        <v>3</v>
      </c>
      <c r="F11" s="81">
        <f>VLOOKUP(A11,Materiales3[],6,FALSE)</f>
        <v>0</v>
      </c>
      <c r="G11" s="81">
        <f t="shared" si="0"/>
        <v>0</v>
      </c>
    </row>
    <row r="12" spans="1:7" ht="75.650000000000006" customHeight="1">
      <c r="A12" s="147">
        <v>139</v>
      </c>
      <c r="B12" s="107" t="str">
        <f>VLOOKUP(A12,Materiales3[],3,FALSE)</f>
        <v>Gabinete metálico con puerta y chapa para equipos y conexiones DC/AC de 598 mm de ancho, 840 mm de alto, 460 cm de fondo (incluye doblefondo, angeos, diseño y fabricación a la medida de los componentes), con soporte interior para batería 48V/100Ah)</v>
      </c>
      <c r="C12" s="79" t="str">
        <f>VLOOKUP(A12,Materiales3[],4,FALSE)</f>
        <v>UN</v>
      </c>
      <c r="D12" s="79">
        <v>1</v>
      </c>
      <c r="E12" s="79">
        <f>VLOOKUP(A12,Materiales3[],5,FALSE)*D12</f>
        <v>15</v>
      </c>
      <c r="F12" s="81">
        <f>VLOOKUP(A12,Materiales3[],6,FALSE)</f>
        <v>0</v>
      </c>
      <c r="G12" s="81">
        <f t="shared" si="0"/>
        <v>0</v>
      </c>
    </row>
    <row r="13" spans="1:7" ht="14.5">
      <c r="A13" s="147">
        <v>140</v>
      </c>
      <c r="B13" s="107" t="str">
        <f>VLOOKUP(A13,Materiales3[],3,FALSE)</f>
        <v>Marcador tipo anillo ar2 (+, -, L, N,T) x 20 Piezas</v>
      </c>
      <c r="C13" s="79" t="str">
        <f>VLOOKUP(A13,Materiales3[],4,FALSE)</f>
        <v>JG</v>
      </c>
      <c r="D13" s="79">
        <v>1</v>
      </c>
      <c r="E13" s="79">
        <f>VLOOKUP(A13,Materiales3[],5,FALSE)*D13</f>
        <v>0.01</v>
      </c>
      <c r="F13" s="81">
        <f>VLOOKUP(A13,Materiales3[],6,FALSE)</f>
        <v>0</v>
      </c>
      <c r="G13" s="81">
        <f t="shared" si="0"/>
        <v>0</v>
      </c>
    </row>
    <row r="14" spans="1:7" ht="14.5">
      <c r="A14" s="147">
        <v>24</v>
      </c>
      <c r="B14" s="107" t="str">
        <f>VLOOKUP(A14,Materiales3[],3,FALSE)</f>
        <v>Borna para ponchar varios calibres y terminales</v>
      </c>
      <c r="C14" s="79" t="str">
        <f>VLOOKUP(A14,Materiales3[],4,FALSE)</f>
        <v>UN</v>
      </c>
      <c r="D14" s="79">
        <v>24</v>
      </c>
      <c r="E14" s="79">
        <f>VLOOKUP(A14,Materiales3[],5,FALSE)*D14</f>
        <v>0.192</v>
      </c>
      <c r="F14" s="81">
        <f>VLOOKUP(A14,Materiales3[],6,FALSE)</f>
        <v>0</v>
      </c>
      <c r="G14" s="81">
        <f t="shared" si="0"/>
        <v>0</v>
      </c>
    </row>
    <row r="15" spans="1:7" ht="14.5">
      <c r="A15" s="147">
        <v>141</v>
      </c>
      <c r="B15" s="107" t="str">
        <f>VLOOKUP(A15,Materiales3[],3,FALSE)</f>
        <v>Tornillo autoperforante de cabeza estrella 1/4" x 1/4"</v>
      </c>
      <c r="C15" s="79" t="str">
        <f>VLOOKUP(A15,Materiales3[],4,FALSE)</f>
        <v>UN</v>
      </c>
      <c r="D15" s="79">
        <v>18</v>
      </c>
      <c r="E15" s="79">
        <f>VLOOKUP(A15,Materiales3[],5,FALSE)*D15</f>
        <v>0.09</v>
      </c>
      <c r="F15" s="81">
        <f>VLOOKUP(A15,Materiales3[],6,FALSE)</f>
        <v>0</v>
      </c>
      <c r="G15" s="81">
        <f t="shared" si="0"/>
        <v>0</v>
      </c>
    </row>
    <row r="16" spans="1:7" ht="14.5">
      <c r="A16" s="147">
        <v>10</v>
      </c>
      <c r="B16" s="107" t="str">
        <f>VLOOKUP(A16,Materiales3[],3,FALSE)</f>
        <v>Riel DIN 35 mm x 7.5 mm</v>
      </c>
      <c r="C16" s="79" t="str">
        <f>VLOOKUP(A16,Materiales3[],4,FALSE)</f>
        <v>ML</v>
      </c>
      <c r="D16" s="79">
        <v>1</v>
      </c>
      <c r="E16" s="79">
        <f>VLOOKUP(A16,Materiales3[],5,FALSE)*D16</f>
        <v>0.3</v>
      </c>
      <c r="F16" s="81">
        <f>VLOOKUP(A16,Materiales3[],6,FALSE)</f>
        <v>0</v>
      </c>
      <c r="G16" s="81">
        <f t="shared" si="0"/>
        <v>0</v>
      </c>
    </row>
    <row r="17" spans="1:7" ht="14.5">
      <c r="A17" s="147">
        <v>13</v>
      </c>
      <c r="B17" s="107" t="str">
        <f>VLOOKUP(A17,Materiales3[],3,FALSE)</f>
        <v>DPS Tipo 2 500 Uc Up 2,5 kV 18-40 kA</v>
      </c>
      <c r="C17" s="79" t="str">
        <f>VLOOKUP(A17,Materiales3[],4,FALSE)</f>
        <v>UN</v>
      </c>
      <c r="D17" s="79">
        <v>1</v>
      </c>
      <c r="E17" s="79">
        <f>VLOOKUP(A17,Materiales3[],5,FALSE)*D17</f>
        <v>0.24</v>
      </c>
      <c r="F17" s="81">
        <f>VLOOKUP(A17,Materiales3[],6,FALSE)</f>
        <v>0</v>
      </c>
      <c r="G17" s="81">
        <f t="shared" si="0"/>
        <v>0</v>
      </c>
    </row>
    <row r="18" spans="1:7" ht="14.5">
      <c r="A18" s="147">
        <v>398</v>
      </c>
      <c r="B18" s="107" t="str">
        <f>VLOOKUP(A18,Materiales3[],3,FALSE)</f>
        <v xml:space="preserve">Interruptor termomagnético 30A 2P 500 VDC 6 Ka </v>
      </c>
      <c r="C18" s="79" t="str">
        <f>VLOOKUP(A18,Materiales3[],4,FALSE)</f>
        <v>UN</v>
      </c>
      <c r="D18" s="79">
        <v>1</v>
      </c>
      <c r="E18" s="79">
        <f>VLOOKUP(A18,Materiales3[],5,FALSE)*D18</f>
        <v>0.24</v>
      </c>
      <c r="F18" s="81">
        <f>VLOOKUP(A18,Materiales3[],6,FALSE)</f>
        <v>0</v>
      </c>
      <c r="G18" s="81">
        <f t="shared" si="0"/>
        <v>0</v>
      </c>
    </row>
    <row r="19" spans="1:7" ht="14.5">
      <c r="A19" s="147">
        <v>11</v>
      </c>
      <c r="B19" s="107" t="str">
        <f>VLOOKUP(A19,Materiales3[],3,FALSE)</f>
        <v xml:space="preserve">Interruptor termomagnético 50A 2P 500 VDC 6 Ka </v>
      </c>
      <c r="C19" s="79" t="str">
        <f>VLOOKUP(A19,Materiales3[],4,FALSE)</f>
        <v>UN</v>
      </c>
      <c r="D19" s="79">
        <v>3</v>
      </c>
      <c r="E19" s="79">
        <f>VLOOKUP(A19,Materiales3[],5,FALSE)*D19</f>
        <v>0.72</v>
      </c>
      <c r="F19" s="81">
        <f>VLOOKUP(A19,Materiales3[],6,FALSE)</f>
        <v>0</v>
      </c>
      <c r="G19" s="81">
        <f t="shared" si="0"/>
        <v>0</v>
      </c>
    </row>
    <row r="20" spans="1:7" ht="14.5">
      <c r="A20" s="147">
        <v>235</v>
      </c>
      <c r="B20" s="107" t="str">
        <f>VLOOKUP(A20,Materiales3[],3,FALSE)</f>
        <v xml:space="preserve">Interruptor termomagnético 25A 2P 120/240V VAC 10 Ka </v>
      </c>
      <c r="C20" s="79" t="str">
        <f>VLOOKUP(A20,Materiales3[],4,FALSE)</f>
        <v>UN</v>
      </c>
      <c r="D20" s="79">
        <v>1</v>
      </c>
      <c r="E20" s="79">
        <f>VLOOKUP(A20,Materiales3[],5,FALSE)*D20</f>
        <v>0.2</v>
      </c>
      <c r="F20" s="81">
        <f>VLOOKUP(A20,Materiales3[],6,FALSE)</f>
        <v>0</v>
      </c>
      <c r="G20" s="81">
        <f t="shared" ref="G20" si="1">D20*F20</f>
        <v>0</v>
      </c>
    </row>
    <row r="21" spans="1:7" ht="14.5">
      <c r="A21" s="147">
        <v>132</v>
      </c>
      <c r="B21" s="107" t="str">
        <f>VLOOKUP(A21,Materiales3[],3,FALSE)</f>
        <v>Cable Cu THHN 10 AWG</v>
      </c>
      <c r="C21" s="79" t="str">
        <f>VLOOKUP(A21,Materiales3[],4,FALSE)</f>
        <v>ML</v>
      </c>
      <c r="D21" s="79">
        <f>2*0.6</f>
        <v>1.2</v>
      </c>
      <c r="E21" s="79">
        <f>VLOOKUP(A21,Materiales3[],5,FALSE)*D21</f>
        <v>7.0800000000000002E-2</v>
      </c>
      <c r="F21" s="81">
        <f>VLOOKUP(A21,Materiales3[],6,FALSE)</f>
        <v>0</v>
      </c>
      <c r="G21" s="81">
        <f t="shared" si="0"/>
        <v>0</v>
      </c>
    </row>
    <row r="22" spans="1:7" ht="14.5">
      <c r="A22" s="147">
        <v>241</v>
      </c>
      <c r="B22" s="107" t="str">
        <f>VLOOKUP(A22,Materiales3[],3,FALSE)</f>
        <v>Cable Cu THHN 6 AWG</v>
      </c>
      <c r="C22" s="79" t="str">
        <f>VLOOKUP(A22,Materiales3[],4,FALSE)</f>
        <v>ML</v>
      </c>
      <c r="D22" s="79">
        <f>2*0.6+4*0.6+2</f>
        <v>5.6</v>
      </c>
      <c r="E22" s="79">
        <f>VLOOKUP(A22,Materiales3[],5,FALSE)*D22</f>
        <v>0.94079999999999997</v>
      </c>
      <c r="F22" s="81">
        <f>VLOOKUP(A22,Materiales3[],6,FALSE)</f>
        <v>0</v>
      </c>
      <c r="G22" s="81">
        <f t="shared" si="0"/>
        <v>0</v>
      </c>
    </row>
    <row r="23" spans="1:7" ht="14.5">
      <c r="A23" s="7">
        <v>246</v>
      </c>
      <c r="B23" s="107" t="str">
        <f>VLOOKUP(A23,Materiales3[],3,FALSE)</f>
        <v>Cable Cu THHN 8 AWG</v>
      </c>
      <c r="C23" s="79" t="str">
        <f>VLOOKUP(A23,Materiales3[],4,FALSE)</f>
        <v>ML</v>
      </c>
      <c r="D23" s="79">
        <f>3*2.5</f>
        <v>7.5</v>
      </c>
      <c r="E23" s="79">
        <f>VLOOKUP(A23,Materiales3[],5,FALSE)*D23</f>
        <v>0.72</v>
      </c>
      <c r="F23" s="81">
        <f>VLOOKUP(A23,Materiales3[],6,FALSE)</f>
        <v>0</v>
      </c>
      <c r="G23" s="81">
        <f t="shared" ref="G23" si="2">D23*F23</f>
        <v>0</v>
      </c>
    </row>
    <row r="24" spans="1:7" ht="14.5">
      <c r="A24" s="7">
        <v>246</v>
      </c>
      <c r="B24" s="107" t="str">
        <f>VLOOKUP(A24,Materiales3[],3,FALSE)&amp;" Verde"</f>
        <v>Cable Cu THHN 8 AWG Verde</v>
      </c>
      <c r="C24" s="79" t="str">
        <f>VLOOKUP(A24,Materiales3[],4,FALSE)</f>
        <v>ML</v>
      </c>
      <c r="D24" s="79">
        <v>0.52500000000000002</v>
      </c>
      <c r="E24" s="79">
        <f>VLOOKUP(A24,Materiales3[],5,FALSE)*D24</f>
        <v>5.04E-2</v>
      </c>
      <c r="F24" s="81">
        <f>VLOOKUP(A24,Materiales3[],6,FALSE)</f>
        <v>0</v>
      </c>
      <c r="G24" s="81">
        <f t="shared" si="0"/>
        <v>0</v>
      </c>
    </row>
    <row r="25" spans="1:7" ht="13">
      <c r="D25" s="86"/>
      <c r="E25" s="86"/>
      <c r="F25" s="87" t="s">
        <v>425</v>
      </c>
      <c r="G25" s="88">
        <f>SUM(G8:G24)</f>
        <v>0</v>
      </c>
    </row>
    <row r="26" spans="1:7">
      <c r="G26" s="111"/>
    </row>
    <row r="27" spans="1:7" ht="13">
      <c r="B27" s="89" t="s">
        <v>426</v>
      </c>
      <c r="G27" s="112"/>
    </row>
    <row r="28" spans="1:7" ht="13">
      <c r="A28" s="146" t="s">
        <v>137</v>
      </c>
      <c r="B28" s="76" t="s">
        <v>28</v>
      </c>
      <c r="C28" s="77" t="s">
        <v>436</v>
      </c>
      <c r="D28" s="77" t="s">
        <v>427</v>
      </c>
      <c r="E28" s="77"/>
      <c r="F28" s="77" t="s">
        <v>30</v>
      </c>
      <c r="G28" s="77" t="s">
        <v>270</v>
      </c>
    </row>
    <row r="29" spans="1:7" ht="14.5">
      <c r="A29" s="147">
        <v>1</v>
      </c>
      <c r="B29" s="82" t="str">
        <f>VLOOKUP(A29,Equipoyherramienta[],2,FALSE)</f>
        <v>Herramienta menor</v>
      </c>
      <c r="C29" s="83" t="str">
        <f>VLOOKUP(A29,Equipoyherramienta[],3,FALSE)</f>
        <v>UN</v>
      </c>
      <c r="D29" s="90">
        <f>VLOOKUP(A29,Equipoyherramienta[],4,FALSE)</f>
        <v>0</v>
      </c>
      <c r="E29" s="90"/>
      <c r="F29" s="109">
        <f>+RENDIMIENTOS!C17</f>
        <v>2</v>
      </c>
      <c r="G29" s="90">
        <f>ROUND(D29/F29,0)</f>
        <v>0</v>
      </c>
    </row>
    <row r="30" spans="1:7">
      <c r="B30" s="82"/>
      <c r="C30" s="83"/>
      <c r="D30" s="85"/>
      <c r="E30" s="85"/>
      <c r="F30" s="91"/>
      <c r="G30" s="92"/>
    </row>
    <row r="31" spans="1:7">
      <c r="B31" s="82"/>
      <c r="C31" s="83"/>
      <c r="D31" s="85"/>
      <c r="E31" s="85"/>
      <c r="F31" s="91"/>
      <c r="G31" s="92"/>
    </row>
    <row r="32" spans="1:7" ht="13">
      <c r="D32" s="86"/>
      <c r="E32" s="86"/>
      <c r="F32" s="87" t="s">
        <v>425</v>
      </c>
      <c r="G32" s="88">
        <f>SUM(G29:G31)</f>
        <v>0</v>
      </c>
    </row>
    <row r="33" spans="1:7" ht="13">
      <c r="D33" s="86"/>
      <c r="E33" s="86"/>
      <c r="F33" s="86"/>
      <c r="G33" s="93"/>
    </row>
    <row r="34" spans="1:7" ht="13">
      <c r="B34" s="75" t="s">
        <v>428</v>
      </c>
      <c r="G34" s="94"/>
    </row>
    <row r="35" spans="1:7" ht="13">
      <c r="A35" s="146" t="s">
        <v>137</v>
      </c>
      <c r="B35" s="76" t="s">
        <v>28</v>
      </c>
      <c r="C35" s="77" t="s">
        <v>268</v>
      </c>
      <c r="D35" s="77" t="s">
        <v>352</v>
      </c>
      <c r="E35" s="77"/>
      <c r="F35" s="77" t="s">
        <v>437</v>
      </c>
      <c r="G35" s="95" t="s">
        <v>270</v>
      </c>
    </row>
    <row r="36" spans="1:7" ht="50">
      <c r="A36" s="147">
        <v>6</v>
      </c>
      <c r="B36" s="96" t="str">
        <f>VLOOKUP(A36,Transp.[],2,FALSE)</f>
        <v>Carga terrestre desde Barranquilla hasta Usuario, incluye cargues, descargues, cruces de río, transporte semoviente, transporte en vehículo de carga pesada y cualquier otro tranposte.</v>
      </c>
      <c r="C36" s="79" t="s">
        <v>438</v>
      </c>
      <c r="D36" s="80">
        <f>+SUM(E8:E24)</f>
        <v>25.973999999999993</v>
      </c>
      <c r="E36" s="80"/>
      <c r="F36" s="97">
        <f>VLOOKUP(A36,Transp.[],6,FALSE)</f>
        <v>0</v>
      </c>
      <c r="G36" s="97">
        <f>D36*F36</f>
        <v>0</v>
      </c>
    </row>
    <row r="37" spans="1:7" ht="13.15" customHeight="1">
      <c r="A37" s="147"/>
      <c r="B37" s="96"/>
      <c r="C37" s="79"/>
      <c r="D37" s="80"/>
      <c r="E37" s="80"/>
      <c r="F37" s="97"/>
      <c r="G37" s="97"/>
    </row>
    <row r="38" spans="1:7" ht="13.15" customHeight="1">
      <c r="A38" s="147"/>
      <c r="B38" s="96"/>
      <c r="C38" s="79"/>
      <c r="D38" s="80"/>
      <c r="E38" s="80"/>
      <c r="F38" s="97"/>
      <c r="G38" s="97"/>
    </row>
    <row r="39" spans="1:7" ht="13">
      <c r="D39" s="86"/>
      <c r="E39" s="86"/>
      <c r="F39" s="99" t="s">
        <v>425</v>
      </c>
      <c r="G39" s="88">
        <f>SUM(G36:G38)</f>
        <v>0</v>
      </c>
    </row>
    <row r="41" spans="1:7" ht="13">
      <c r="B41" s="75" t="s">
        <v>432</v>
      </c>
      <c r="D41" s="100"/>
      <c r="E41" s="100"/>
      <c r="F41" s="101"/>
      <c r="G41" s="94"/>
    </row>
    <row r="42" spans="1:7" s="86" customFormat="1" ht="13">
      <c r="A42" s="146" t="s">
        <v>137</v>
      </c>
      <c r="B42" s="77" t="s">
        <v>28</v>
      </c>
      <c r="C42" s="77" t="s">
        <v>433</v>
      </c>
      <c r="D42" s="77" t="s">
        <v>434</v>
      </c>
      <c r="E42" s="77"/>
      <c r="F42" s="77" t="s">
        <v>30</v>
      </c>
      <c r="G42" s="95" t="s">
        <v>270</v>
      </c>
    </row>
    <row r="43" spans="1:7" ht="14.5">
      <c r="A43" s="147">
        <v>1</v>
      </c>
      <c r="B43" s="102" t="str">
        <f>VLOOKUP(A43,ManoObra[],2,FALSE)</f>
        <v>Electricista</v>
      </c>
      <c r="C43" s="103" t="e">
        <f>VLOOKUP(A43,ManoObra[],8,FALSE)</f>
        <v>#DIV/0!</v>
      </c>
      <c r="D43" s="91">
        <f>+FP!E27</f>
        <v>0</v>
      </c>
      <c r="E43" s="91"/>
      <c r="F43" s="109">
        <f>F29</f>
        <v>2</v>
      </c>
      <c r="G43" s="90" t="e">
        <f>ROUND(C43*D43/F43,0)</f>
        <v>#DIV/0!</v>
      </c>
    </row>
    <row r="44" spans="1:7" ht="14.5">
      <c r="A44" s="147">
        <v>2</v>
      </c>
      <c r="B44" s="102" t="str">
        <f>VLOOKUP(A44,ManoObra[],2,FALSE)</f>
        <v>Ayudante</v>
      </c>
      <c r="C44" s="103" t="e">
        <f>VLOOKUP(A44,ManoObra[],8,FALSE)</f>
        <v>#DIV/0!</v>
      </c>
      <c r="D44" s="91">
        <f>+FP!E27</f>
        <v>0</v>
      </c>
      <c r="E44" s="91"/>
      <c r="F44" s="109">
        <f>F29</f>
        <v>2</v>
      </c>
      <c r="G44" s="90" t="e">
        <f>ROUND(C44*D44/F44,0)</f>
        <v>#DIV/0!</v>
      </c>
    </row>
    <row r="45" spans="1:7" ht="14.5">
      <c r="A45" s="147"/>
      <c r="B45" s="108"/>
      <c r="C45" s="103"/>
      <c r="D45" s="91"/>
      <c r="E45" s="91"/>
      <c r="F45" s="84"/>
      <c r="G45" s="90"/>
    </row>
    <row r="46" spans="1:7" ht="13">
      <c r="D46" s="86"/>
      <c r="E46" s="86"/>
      <c r="F46" s="99" t="s">
        <v>425</v>
      </c>
      <c r="G46" s="113" t="e">
        <f>SUM(G43:G45)</f>
        <v>#DIV/0!</v>
      </c>
    </row>
    <row r="47" spans="1:7" ht="13">
      <c r="D47" s="86"/>
      <c r="E47" s="86"/>
      <c r="G47" s="94"/>
    </row>
    <row r="48" spans="1:7" ht="12.75" customHeight="1">
      <c r="B48" s="86"/>
      <c r="D48" s="563" t="s">
        <v>435</v>
      </c>
      <c r="E48" s="565"/>
      <c r="F48" s="564"/>
      <c r="G48" s="104" t="e">
        <f>G25+G32+G39+G46</f>
        <v>#DIV/0!</v>
      </c>
    </row>
  </sheetData>
  <mergeCells count="3">
    <mergeCell ref="B1:G1"/>
    <mergeCell ref="B4:E4"/>
    <mergeCell ref="D48:F48"/>
  </mergeCells>
  <printOptions horizontalCentered="1"/>
  <pageMargins left="0.70866141732283472" right="0.70866141732283472" top="1.5748031496062993" bottom="0.98425196850393704" header="0.98425196850393704" footer="0.51181102362204722"/>
  <pageSetup scale="66" orientation="portrait" r:id="rId1"/>
  <headerFooter alignWithMargins="0">
    <oddHeader xml:space="preserve">&amp;C&amp;"Arial,Negrita"&amp;12ANÁLISIS DE PRECIOS UNITARIOS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441-6951-4335-A966-844BF89F6C45}">
  <sheetPr>
    <tabColor theme="4" tint="0.59999389629810485"/>
    <pageSetUpPr fitToPage="1"/>
  </sheetPr>
  <dimension ref="A1:G34"/>
  <sheetViews>
    <sheetView showGridLines="0" view="pageBreakPreview" topLeftCell="A22" zoomScale="80" zoomScaleNormal="120" zoomScaleSheetLayoutView="80" workbookViewId="0">
      <selection activeCell="J34" sqref="J34"/>
    </sheetView>
  </sheetViews>
  <sheetFormatPr baseColWidth="10" defaultColWidth="11.453125" defaultRowHeight="12.5"/>
  <cols>
    <col min="1" max="1" width="11.453125" style="68"/>
    <col min="2" max="2" width="48.26953125" style="68" customWidth="1"/>
    <col min="3" max="3" width="11.453125" style="68"/>
    <col min="4" max="5" width="11.7265625" style="68" customWidth="1"/>
    <col min="6" max="6" width="15" style="68" customWidth="1"/>
    <col min="7" max="7" width="15.26953125" style="68" customWidth="1"/>
    <col min="8" max="8" width="6.26953125" style="68" customWidth="1"/>
    <col min="9" max="9" width="11.453125" style="68"/>
    <col min="10" max="10" width="11.7265625" style="68" bestFit="1" customWidth="1"/>
    <col min="11" max="16384" width="11.453125" style="68"/>
  </cols>
  <sheetData>
    <row r="1" spans="1:7" ht="18.75" customHeight="1">
      <c r="B1" s="559" t="str">
        <f>+'PRES. SISFV'!A1</f>
        <v xml:space="preserve">IMPLEMENTACIÓN DE SOLUCIONES ENERGÉTICAS SOSTENIBLES CON FUENTES NO CONVENCIONALES, PARA LAS COMUNIDADES RURALES DEL MUNICIPIO DE PIVIJAY, DEPARTAMENTO MAGDALENA.                                                                                                                                                                                                                          </v>
      </c>
      <c r="C1" s="559"/>
      <c r="D1" s="559"/>
      <c r="E1" s="559"/>
      <c r="F1" s="559"/>
      <c r="G1" s="559"/>
    </row>
    <row r="3" spans="1:7" ht="12.75" customHeight="1">
      <c r="B3" s="69" t="s">
        <v>422</v>
      </c>
      <c r="C3" s="70" t="str">
        <f>+'PRES. SISFV'!A9</f>
        <v>1.5</v>
      </c>
      <c r="D3" s="70"/>
      <c r="E3" s="70"/>
      <c r="F3" s="70"/>
      <c r="G3" s="71" t="s">
        <v>423</v>
      </c>
    </row>
    <row r="4" spans="1:7" ht="99.65" customHeight="1">
      <c r="B4" s="560" t="str">
        <f>+'PRES. SISFV'!B9</f>
        <v>Suministro e instalación de regulador (controlador) de carga, 50A/48V MPPT Solar, eficiencia mínima del 96%, debe ser apto para cargar baterías tipo LiFePO4. Con todas las protecciones eléctricas necesarias en caso de sobrecarga, cortocircuito, advertencia de alto voltaje</v>
      </c>
      <c r="C4" s="566"/>
      <c r="D4" s="566"/>
      <c r="E4" s="567"/>
      <c r="G4" s="72" t="str">
        <f>+'PRES. SISFV'!C9</f>
        <v>UN</v>
      </c>
    </row>
    <row r="5" spans="1:7" ht="13">
      <c r="B5" s="73"/>
      <c r="G5" s="74"/>
    </row>
    <row r="6" spans="1:7" ht="13">
      <c r="B6" s="75" t="s">
        <v>424</v>
      </c>
    </row>
    <row r="7" spans="1:7" ht="13">
      <c r="A7" s="146" t="s">
        <v>137</v>
      </c>
      <c r="B7" s="76" t="s">
        <v>28</v>
      </c>
      <c r="C7" s="77" t="s">
        <v>268</v>
      </c>
      <c r="D7" s="77" t="s">
        <v>57</v>
      </c>
      <c r="E7" s="77" t="s">
        <v>352</v>
      </c>
      <c r="F7" s="77" t="s">
        <v>269</v>
      </c>
      <c r="G7" s="77" t="s">
        <v>270</v>
      </c>
    </row>
    <row r="8" spans="1:7" ht="43.15" customHeight="1">
      <c r="A8" s="147">
        <v>147</v>
      </c>
      <c r="B8" s="107" t="str">
        <f>VLOOKUP(A8,Materiales3[],3,FALSE)</f>
        <v>Controlador de carga MPPT 48 VDC capacidad 50 A</v>
      </c>
      <c r="C8" s="79" t="str">
        <f>VLOOKUP(A8,Materiales3[],4,FALSE)</f>
        <v>UN</v>
      </c>
      <c r="D8" s="80">
        <v>1</v>
      </c>
      <c r="E8" s="79">
        <f>VLOOKUP(A8,Materiales3[],5,FALSE)*D8</f>
        <v>2.5</v>
      </c>
      <c r="F8" s="81">
        <f>VLOOKUP(A8,Materiales3[],6,FALSE)</f>
        <v>0</v>
      </c>
      <c r="G8" s="81">
        <f>D8*F8</f>
        <v>0</v>
      </c>
    </row>
    <row r="9" spans="1:7" ht="14.5">
      <c r="A9" s="147">
        <v>24</v>
      </c>
      <c r="B9" s="107" t="str">
        <f>VLOOKUP(A9,Materiales3[],3,FALSE)</f>
        <v>Borna para ponchar varios calibres y terminales</v>
      </c>
      <c r="C9" s="79" t="str">
        <f>VLOOKUP(A9,Materiales3[],4,FALSE)</f>
        <v>UN</v>
      </c>
      <c r="D9" s="80">
        <v>2</v>
      </c>
      <c r="E9" s="79">
        <f>VLOOKUP(A9,Materiales3[],5,FALSE)*D9</f>
        <v>1.6E-2</v>
      </c>
      <c r="F9" s="81">
        <f>VLOOKUP(A9,Materiales3[],6,FALSE)</f>
        <v>0</v>
      </c>
      <c r="G9" s="81">
        <f>D9*F9</f>
        <v>0</v>
      </c>
    </row>
    <row r="10" spans="1:7" ht="14.5">
      <c r="A10" s="7">
        <v>132</v>
      </c>
      <c r="B10" s="107" t="str">
        <f>VLOOKUP(A10,Materiales3[],3,FALSE)&amp;" Verde"</f>
        <v>Cable Cu THHN 10 AWG Verde</v>
      </c>
      <c r="C10" s="79" t="str">
        <f>VLOOKUP(A10,Materiales3[],4,FALSE)</f>
        <v>ML</v>
      </c>
      <c r="D10" s="80">
        <v>1.05</v>
      </c>
      <c r="E10" s="79">
        <f>VLOOKUP(A10,Materiales3[],5,FALSE)*D10</f>
        <v>6.1950000000000005E-2</v>
      </c>
      <c r="F10" s="81">
        <f>VLOOKUP(A10,Materiales3[],6,FALSE)</f>
        <v>0</v>
      </c>
      <c r="G10" s="81">
        <f>D10*F10</f>
        <v>0</v>
      </c>
    </row>
    <row r="11" spans="1:7" ht="13">
      <c r="D11" s="86"/>
      <c r="E11" s="86"/>
      <c r="F11" s="87" t="s">
        <v>425</v>
      </c>
      <c r="G11" s="88">
        <f>SUM(G8:G10)</f>
        <v>0</v>
      </c>
    </row>
    <row r="12" spans="1:7">
      <c r="G12" s="111"/>
    </row>
    <row r="13" spans="1:7" ht="13">
      <c r="B13" s="89" t="s">
        <v>426</v>
      </c>
      <c r="G13" s="112"/>
    </row>
    <row r="14" spans="1:7" ht="13">
      <c r="A14" s="146" t="s">
        <v>137</v>
      </c>
      <c r="B14" s="76" t="s">
        <v>28</v>
      </c>
      <c r="C14" s="77" t="s">
        <v>436</v>
      </c>
      <c r="D14" s="77" t="s">
        <v>427</v>
      </c>
      <c r="E14" s="77"/>
      <c r="F14" s="77" t="s">
        <v>30</v>
      </c>
      <c r="G14" s="77" t="s">
        <v>270</v>
      </c>
    </row>
    <row r="15" spans="1:7" ht="14.5">
      <c r="A15" s="147">
        <v>1</v>
      </c>
      <c r="B15" s="82" t="str">
        <f>VLOOKUP(A15,Equipoyherramienta[],2,FALSE)</f>
        <v>Herramienta menor</v>
      </c>
      <c r="C15" s="83" t="str">
        <f>VLOOKUP(A15,Equipoyherramienta[],3,FALSE)</f>
        <v>UN</v>
      </c>
      <c r="D15" s="90">
        <f>VLOOKUP(A15,Equipoyherramienta[],4,FALSE)</f>
        <v>0</v>
      </c>
      <c r="E15" s="90"/>
      <c r="F15" s="109">
        <f>+RENDIMIENTOS!C18</f>
        <v>3</v>
      </c>
      <c r="G15" s="90">
        <f>ROUND(D15/F15,0)</f>
        <v>0</v>
      </c>
    </row>
    <row r="16" spans="1:7">
      <c r="B16" s="82"/>
      <c r="C16" s="83"/>
      <c r="D16" s="85"/>
      <c r="E16" s="85"/>
      <c r="F16" s="91"/>
      <c r="G16" s="92"/>
    </row>
    <row r="17" spans="1:7">
      <c r="B17" s="82"/>
      <c r="C17" s="83"/>
      <c r="D17" s="85"/>
      <c r="E17" s="85"/>
      <c r="F17" s="91"/>
      <c r="G17" s="92"/>
    </row>
    <row r="18" spans="1:7" ht="13">
      <c r="D18" s="86"/>
      <c r="E18" s="86"/>
      <c r="F18" s="87" t="s">
        <v>425</v>
      </c>
      <c r="G18" s="88">
        <f>SUM(G15:G17)</f>
        <v>0</v>
      </c>
    </row>
    <row r="19" spans="1:7" ht="13">
      <c r="D19" s="86"/>
      <c r="E19" s="86"/>
      <c r="F19" s="86"/>
      <c r="G19" s="93"/>
    </row>
    <row r="20" spans="1:7" ht="13">
      <c r="B20" s="75" t="s">
        <v>428</v>
      </c>
      <c r="G20" s="94"/>
    </row>
    <row r="21" spans="1:7" ht="13">
      <c r="A21" s="146" t="s">
        <v>137</v>
      </c>
      <c r="B21" s="76" t="s">
        <v>28</v>
      </c>
      <c r="C21" s="77" t="s">
        <v>268</v>
      </c>
      <c r="D21" s="77" t="s">
        <v>352</v>
      </c>
      <c r="E21" s="77"/>
      <c r="F21" s="77" t="s">
        <v>437</v>
      </c>
      <c r="G21" s="95" t="s">
        <v>270</v>
      </c>
    </row>
    <row r="22" spans="1:7" ht="52.9" customHeight="1">
      <c r="A22" s="147">
        <v>6</v>
      </c>
      <c r="B22" s="96" t="str">
        <f>VLOOKUP(A22,Transp.[],2,FALSE)</f>
        <v>Carga terrestre desde Barranquilla hasta Usuario, incluye cargues, descargues, cruces de río, transporte semoviente, transporte en vehículo de carga pesada y cualquier otro tranposte.</v>
      </c>
      <c r="C22" s="79" t="s">
        <v>438</v>
      </c>
      <c r="D22" s="80">
        <f>SUM(E8:E10)</f>
        <v>2.57795</v>
      </c>
      <c r="E22" s="80"/>
      <c r="F22" s="97">
        <f>VLOOKUP(A22,Transp.[],6,FALSE)</f>
        <v>0</v>
      </c>
      <c r="G22" s="97">
        <f>D22*F22</f>
        <v>0</v>
      </c>
    </row>
    <row r="23" spans="1:7" ht="13.15" customHeight="1">
      <c r="A23" s="147"/>
      <c r="B23" s="96"/>
      <c r="C23" s="79"/>
      <c r="D23" s="80"/>
      <c r="E23" s="80"/>
      <c r="F23" s="97"/>
      <c r="G23" s="97"/>
    </row>
    <row r="24" spans="1:7" ht="13.15" customHeight="1">
      <c r="A24" s="147"/>
      <c r="B24" s="96"/>
      <c r="C24" s="79"/>
      <c r="D24" s="80"/>
      <c r="E24" s="80"/>
      <c r="F24" s="97"/>
      <c r="G24" s="97"/>
    </row>
    <row r="25" spans="1:7" ht="13">
      <c r="D25" s="86"/>
      <c r="E25" s="86"/>
      <c r="F25" s="99" t="s">
        <v>425</v>
      </c>
      <c r="G25" s="88">
        <f>SUM(G22:G24)</f>
        <v>0</v>
      </c>
    </row>
    <row r="27" spans="1:7" ht="13">
      <c r="B27" s="75" t="s">
        <v>432</v>
      </c>
      <c r="D27" s="100"/>
      <c r="E27" s="100"/>
      <c r="F27" s="101"/>
      <c r="G27" s="94"/>
    </row>
    <row r="28" spans="1:7" s="86" customFormat="1" ht="13">
      <c r="A28" s="146" t="s">
        <v>137</v>
      </c>
      <c r="B28" s="77" t="s">
        <v>28</v>
      </c>
      <c r="C28" s="77" t="s">
        <v>433</v>
      </c>
      <c r="D28" s="77" t="s">
        <v>434</v>
      </c>
      <c r="E28" s="77"/>
      <c r="F28" s="77" t="s">
        <v>30</v>
      </c>
      <c r="G28" s="95" t="s">
        <v>270</v>
      </c>
    </row>
    <row r="29" spans="1:7" ht="14.5">
      <c r="A29" s="147">
        <v>1</v>
      </c>
      <c r="B29" s="102" t="str">
        <f>VLOOKUP(A29,ManoObra[],2,FALSE)</f>
        <v>Electricista</v>
      </c>
      <c r="C29" s="103" t="e">
        <f>VLOOKUP(A29,ManoObra[],8,FALSE)</f>
        <v>#DIV/0!</v>
      </c>
      <c r="D29" s="91">
        <f>+FP!E27</f>
        <v>0</v>
      </c>
      <c r="E29" s="91"/>
      <c r="F29" s="109">
        <f>F15</f>
        <v>3</v>
      </c>
      <c r="G29" s="90" t="e">
        <f>ROUND(C29*D29/F29,0)</f>
        <v>#DIV/0!</v>
      </c>
    </row>
    <row r="30" spans="1:7" ht="14.5">
      <c r="A30" s="147">
        <v>2</v>
      </c>
      <c r="B30" s="102" t="str">
        <f>VLOOKUP(A30,ManoObra[],2,FALSE)</f>
        <v>Ayudante</v>
      </c>
      <c r="C30" s="103" t="e">
        <f>VLOOKUP(A30,ManoObra[],8,FALSE)</f>
        <v>#DIV/0!</v>
      </c>
      <c r="D30" s="91">
        <f>+FP!E27</f>
        <v>0</v>
      </c>
      <c r="E30" s="91"/>
      <c r="F30" s="109">
        <f>F15</f>
        <v>3</v>
      </c>
      <c r="G30" s="90" t="e">
        <f>ROUND(C30*D30/F30,0)</f>
        <v>#DIV/0!</v>
      </c>
    </row>
    <row r="31" spans="1:7" ht="14.5">
      <c r="A31" s="147"/>
      <c r="B31" s="108"/>
      <c r="C31" s="103"/>
      <c r="D31" s="91"/>
      <c r="E31" s="91"/>
      <c r="F31" s="84"/>
      <c r="G31" s="90"/>
    </row>
    <row r="32" spans="1:7" ht="13">
      <c r="D32" s="86"/>
      <c r="E32" s="86"/>
      <c r="F32" s="99" t="s">
        <v>425</v>
      </c>
      <c r="G32" s="113" t="e">
        <f>SUM(G29:G31)</f>
        <v>#DIV/0!</v>
      </c>
    </row>
    <row r="33" spans="2:7" ht="13">
      <c r="D33" s="86"/>
      <c r="E33" s="86"/>
      <c r="G33" s="94"/>
    </row>
    <row r="34" spans="2:7" ht="12.75" customHeight="1">
      <c r="B34" s="86"/>
      <c r="D34" s="563" t="s">
        <v>435</v>
      </c>
      <c r="E34" s="565"/>
      <c r="F34" s="564"/>
      <c r="G34" s="104" t="e">
        <f>G11+G18+G25+G32</f>
        <v>#DIV/0!</v>
      </c>
    </row>
  </sheetData>
  <mergeCells count="3">
    <mergeCell ref="B1:G1"/>
    <mergeCell ref="B4:E4"/>
    <mergeCell ref="D34:F34"/>
  </mergeCells>
  <printOptions horizontalCentered="1"/>
  <pageMargins left="0.70866141732283472" right="0.70866141732283472" top="1.5748031496062993" bottom="0.98425196850393704" header="0.98425196850393704" footer="0.51181102362204722"/>
  <pageSetup scale="73" orientation="portrait" r:id="rId1"/>
  <headerFooter alignWithMargins="0">
    <oddHeader xml:space="preserve">&amp;C&amp;"Arial,Negrita"&amp;12ANÁLISIS DE PRECIOS UNITARIOS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EE151B06CB7148BE51795D349B101C" ma:contentTypeVersion="16" ma:contentTypeDescription="Crear nuevo documento." ma:contentTypeScope="" ma:versionID="5e229de38119ccc626d96ac4d1ffe32c">
  <xsd:schema xmlns:xsd="http://www.w3.org/2001/XMLSchema" xmlns:xs="http://www.w3.org/2001/XMLSchema" xmlns:p="http://schemas.microsoft.com/office/2006/metadata/properties" xmlns:ns2="0fec9643-84f7-45db-aa83-ee9a3ae72494" xmlns:ns3="87362788-ca17-470c-b6b4-0ee09bbc73c2" targetNamespace="http://schemas.microsoft.com/office/2006/metadata/properties" ma:root="true" ma:fieldsID="c289c524ab13c4f7bf7081ee34a695db" ns2:_="" ns3:_="">
    <xsd:import namespace="0fec9643-84f7-45db-aa83-ee9a3ae72494"/>
    <xsd:import namespace="87362788-ca17-470c-b6b4-0ee09bbc73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c9643-84f7-45db-aa83-ee9a3ae72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362788-ca17-470c-b6b4-0ee09bbc73c2"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4aefbc11-6301-4461-89f3-00833bfac1b2}" ma:internalName="TaxCatchAll" ma:showField="CatchAllData" ma:web="87362788-ca17-470c-b6b4-0ee09bbc7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ec9643-84f7-45db-aa83-ee9a3ae72494">
      <Terms xmlns="http://schemas.microsoft.com/office/infopath/2007/PartnerControls"/>
    </lcf76f155ced4ddcb4097134ff3c332f>
    <TaxCatchAll xmlns="87362788-ca17-470c-b6b4-0ee09bbc73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3D3F8-5D5D-4815-96EE-8B626F2D7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c9643-84f7-45db-aa83-ee9a3ae72494"/>
    <ds:schemaRef ds:uri="87362788-ca17-470c-b6b4-0ee09bbc7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CD4FEC-B3E0-45F1-BC7B-BB3C1EF93B60}">
  <ds:schemaRef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0fec9643-84f7-45db-aa83-ee9a3ae72494"/>
    <ds:schemaRef ds:uri="http://schemas.microsoft.com/office/infopath/2007/PartnerControls"/>
    <ds:schemaRef ds:uri="87362788-ca17-470c-b6b4-0ee09bbc73c2"/>
    <ds:schemaRef ds:uri="http://purl.org/dc/elements/1.1/"/>
  </ds:schemaRefs>
</ds:datastoreItem>
</file>

<file path=customXml/itemProps3.xml><?xml version="1.0" encoding="utf-8"?>
<ds:datastoreItem xmlns:ds="http://schemas.openxmlformats.org/officeDocument/2006/customXml" ds:itemID="{C083677E-1CDE-441A-8CBA-D6CEE5EB5B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5</vt:i4>
      </vt:variant>
    </vt:vector>
  </HeadingPairs>
  <TitlesOfParts>
    <vt:vector size="30" baseType="lpstr">
      <vt:lpstr>Usuarios</vt:lpstr>
      <vt:lpstr>CADENA DE VALOR</vt:lpstr>
      <vt:lpstr>PRES. SISFV</vt:lpstr>
      <vt:lpstr>APU_PGS</vt:lpstr>
      <vt:lpstr>1.1</vt:lpstr>
      <vt:lpstr>1.2</vt:lpstr>
      <vt:lpstr>1.3</vt:lpstr>
      <vt:lpstr>1.4</vt:lpstr>
      <vt:lpstr>1.5</vt:lpstr>
      <vt:lpstr>1.6</vt:lpstr>
      <vt:lpstr>1.7</vt:lpstr>
      <vt:lpstr>1.8</vt:lpstr>
      <vt:lpstr>2.1</vt:lpstr>
      <vt:lpstr>2.2</vt:lpstr>
      <vt:lpstr>3.1</vt:lpstr>
      <vt:lpstr>4.1</vt:lpstr>
      <vt:lpstr>FP</vt:lpstr>
      <vt:lpstr>Memoria Civil</vt:lpstr>
      <vt:lpstr>MATERIALES</vt:lpstr>
      <vt:lpstr>RENDIMIENTOS</vt:lpstr>
      <vt:lpstr>EQUIPO Y HERRAMIENTA</vt:lpstr>
      <vt:lpstr>TRANSPORTE</vt:lpstr>
      <vt:lpstr>MANO DE OBRA</vt:lpstr>
      <vt:lpstr>Equipos importados</vt:lpstr>
      <vt:lpstr>Cronograma y Flujo de Fondos</vt:lpstr>
      <vt:lpstr>'2.1'!Área_de_impresión</vt:lpstr>
      <vt:lpstr>'Cronograma y Flujo de Fondos'!Área_de_impresión</vt:lpstr>
      <vt:lpstr>MATERIALES!Área_de_impresión</vt:lpstr>
      <vt:lpstr>'PRES. SISFV'!Área_de_impresión</vt:lpstr>
      <vt:lpstr>TRANSPORTE!Área_de_impresión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Juan Carlos Villada Salazar</cp:lastModifiedBy>
  <cp:revision/>
  <cp:lastPrinted>2025-06-20T20:12:52Z</cp:lastPrinted>
  <dcterms:created xsi:type="dcterms:W3CDTF">2025-02-24T14:35:22Z</dcterms:created>
  <dcterms:modified xsi:type="dcterms:W3CDTF">2025-12-02T13:04:17Z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0x01010038EE151B06CB7148BE51795D349B101C</vt:lpwstr>
  </property>
  <property fmtid="{D5CDD505-2E9C-101B-9397-08002B2CF9AE}" pid="3" name="MediaServiceImageTags">
    <vt:lpwstr/>
  </property>
</Properties>
</file>