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Nuevo FAZNI 2025\Formulaciones No 2 Sep 2025\BFAZNI 498 Plato y Tenerife\5. Presupuestal\1. Análisis de Costos y Presupuesto\"/>
    </mc:Choice>
  </mc:AlternateContent>
  <xr:revisionPtr revIDLastSave="0" documentId="13_ncr:1_{CF20EB24-3308-4DED-B169-9C3C567A0657}" xr6:coauthVersionLast="36" xr6:coauthVersionMax="47" xr10:uidLastSave="{00000000-0000-0000-0000-000000000000}"/>
  <bookViews>
    <workbookView xWindow="-120" yWindow="-120" windowWidth="20730" windowHeight="11040" tabRatio="837" activeTab="1" xr2:uid="{B0E11A1C-8F23-486D-BE23-B40DC1485A07}"/>
  </bookViews>
  <sheets>
    <sheet name="Usuarios" sheetId="32" r:id="rId1"/>
    <sheet name="PRES GENERAL MR" sheetId="5" r:id="rId2"/>
    <sheet name="PRES. SISFV 2010wp" sheetId="62" r:id="rId3"/>
    <sheet name="PRES MR 5 KW" sheetId="63" r:id="rId4"/>
    <sheet name="FP" sheetId="9" r:id="rId5"/>
    <sheet name="Memoria Civil" sheetId="118" r:id="rId6"/>
    <sheet name="APU_PGS" sheetId="111" r:id="rId7"/>
    <sheet name="APU_PMA" sheetId="117" r:id="rId8"/>
    <sheet name="Cadena de Valor" sheetId="114" state="hidden" r:id="rId9"/>
    <sheet name="1.1" sheetId="6" r:id="rId10"/>
    <sheet name="2.1.1" sheetId="7" r:id="rId11"/>
    <sheet name="2.1.2" sheetId="39" r:id="rId12"/>
    <sheet name="2.1.3" sheetId="17" r:id="rId13"/>
    <sheet name="2.1.4" sheetId="14" r:id="rId14"/>
    <sheet name="2.1.5" sheetId="15" r:id="rId15"/>
    <sheet name="2.1.6" sheetId="16" r:id="rId16"/>
    <sheet name="2.1.7" sheetId="18" r:id="rId17"/>
    <sheet name="2.2.1" sheetId="43" r:id="rId18"/>
    <sheet name="2.2.2" sheetId="20" r:id="rId19"/>
    <sheet name="2.3.1" sheetId="19" r:id="rId20"/>
    <sheet name="2.4.1" sheetId="21" r:id="rId21"/>
    <sheet name="3.1.1" sheetId="64" r:id="rId22"/>
    <sheet name="3.1.2" sheetId="65" r:id="rId23"/>
    <sheet name="3.1.3" sheetId="115" r:id="rId24"/>
    <sheet name="3.1.4" sheetId="67" r:id="rId25"/>
    <sheet name="3.1.5" sheetId="66" r:id="rId26"/>
    <sheet name="3.1.6" sheetId="68" r:id="rId27"/>
    <sheet name="3.1.7" sheetId="69" r:id="rId28"/>
    <sheet name="3.1.8" sheetId="116" r:id="rId29"/>
    <sheet name="3.1.9" sheetId="70" r:id="rId30"/>
    <sheet name="3.1.10" sheetId="71" r:id="rId31"/>
    <sheet name="3.1.11" sheetId="72" r:id="rId32"/>
    <sheet name="3.1.12" sheetId="73" r:id="rId33"/>
    <sheet name="3.1.13" sheetId="74" r:id="rId34"/>
    <sheet name="3.1.14" sheetId="85" r:id="rId35"/>
    <sheet name="3.2.1" sheetId="86" r:id="rId36"/>
    <sheet name="3.2.2" sheetId="87" r:id="rId37"/>
    <sheet name="3.2.3" sheetId="88" r:id="rId38"/>
    <sheet name="3.2.4" sheetId="89" r:id="rId39"/>
    <sheet name="3.2.5" sheetId="90" r:id="rId40"/>
    <sheet name="3.2.6" sheetId="91" r:id="rId41"/>
    <sheet name="3.2.7" sheetId="92" r:id="rId42"/>
    <sheet name="3.2.8" sheetId="93" r:id="rId43"/>
    <sheet name="3.2.9" sheetId="94" r:id="rId44"/>
    <sheet name="3.2.10" sheetId="95" r:id="rId45"/>
    <sheet name="3.2.11" sheetId="96" r:id="rId46"/>
    <sheet name="3.2.12" sheetId="97" r:id="rId47"/>
    <sheet name="3.3.1" sheetId="75" r:id="rId48"/>
    <sheet name="3.4.1" sheetId="76" r:id="rId49"/>
    <sheet name="3.4.2" sheetId="77" r:id="rId50"/>
    <sheet name="3.5.1" sheetId="79" r:id="rId51"/>
    <sheet name="4.1" sheetId="98" r:id="rId52"/>
    <sheet name="4.2" sheetId="99" r:id="rId53"/>
    <sheet name="4.3" sheetId="100" r:id="rId54"/>
    <sheet name="4.4" sheetId="101" r:id="rId55"/>
    <sheet name="4.5" sheetId="102" r:id="rId56"/>
    <sheet name="4.6" sheetId="103" r:id="rId57"/>
    <sheet name="4.7" sheetId="104" r:id="rId58"/>
    <sheet name="4.8" sheetId="105" r:id="rId59"/>
    <sheet name="4.9" sheetId="108" r:id="rId60"/>
    <sheet name="4.10" sheetId="109" r:id="rId61"/>
    <sheet name="4.11" sheetId="110" r:id="rId62"/>
    <sheet name="5.1" sheetId="78" r:id="rId63"/>
    <sheet name="TRANSPORTE" sheetId="3" r:id="rId64"/>
    <sheet name="MATERIALES" sheetId="10" r:id="rId65"/>
    <sheet name="Equipos importados" sheetId="34" r:id="rId66"/>
    <sheet name="RENDIMIENTOS" sheetId="1" r:id="rId67"/>
    <sheet name="EQUIPO Y HERRAMIENTA" sheetId="2" r:id="rId68"/>
    <sheet name="MANO DE OBRA" sheetId="4" r:id="rId69"/>
    <sheet name="Cronograma y Flujo de Fondos" sheetId="35" r:id="rId70"/>
  </sheets>
  <externalReferences>
    <externalReference r:id="rId71"/>
    <externalReference r:id="rId72"/>
    <externalReference r:id="rId73"/>
    <externalReference r:id="rId74"/>
    <externalReference r:id="rId75"/>
    <externalReference r:id="rId76"/>
  </externalReferences>
  <definedNames>
    <definedName name="__123Graph_AMAIN" localSheetId="9" hidden="1">#REF!</definedName>
    <definedName name="__123Graph_AMAIN" localSheetId="69" hidden="1">'[1]ETAPA 50 SMMLV'!#REF!</definedName>
    <definedName name="__123Graph_AMAIN" localSheetId="67" hidden="1">#REF!</definedName>
    <definedName name="__123Graph_AMAIN" localSheetId="4" hidden="1">#REF!</definedName>
    <definedName name="__123Graph_AMAIN" localSheetId="63" hidden="1">#REF!</definedName>
    <definedName name="__123Graph_AMAIN" hidden="1">#REF!</definedName>
    <definedName name="__123Graph_BMAIN" localSheetId="9" hidden="1">#REF!</definedName>
    <definedName name="__123Graph_BMAIN" localSheetId="69" hidden="1">'[1]ETAPA 50 SMMLV'!#REF!</definedName>
    <definedName name="__123Graph_BMAIN" localSheetId="67" hidden="1">#REF!</definedName>
    <definedName name="__123Graph_BMAIN" localSheetId="4" hidden="1">#REF!</definedName>
    <definedName name="__123Graph_BMAIN" localSheetId="63" hidden="1">#REF!</definedName>
    <definedName name="__123Graph_BMAIN" hidden="1">#REF!</definedName>
    <definedName name="__123Graph_C" localSheetId="9" hidden="1">#REF!</definedName>
    <definedName name="__123Graph_C" localSheetId="69" hidden="1">#REF!</definedName>
    <definedName name="__123Graph_C" localSheetId="67" hidden="1">#REF!</definedName>
    <definedName name="__123Graph_C" localSheetId="4" hidden="1">#REF!</definedName>
    <definedName name="__123Graph_C" localSheetId="63" hidden="1">#REF!</definedName>
    <definedName name="__123Graph_C" hidden="1">#REF!</definedName>
    <definedName name="__123Graph_E" localSheetId="9" hidden="1">#REF!</definedName>
    <definedName name="__123Graph_E" localSheetId="69" hidden="1">#REF!</definedName>
    <definedName name="__123Graph_E" localSheetId="67" hidden="1">#REF!</definedName>
    <definedName name="__123Graph_E" localSheetId="4" hidden="1">#REF!</definedName>
    <definedName name="__123Graph_E" localSheetId="63" hidden="1">#REF!</definedName>
    <definedName name="__123Graph_E" hidden="1">#REF!</definedName>
    <definedName name="__123Graph_F" localSheetId="9" hidden="1">#REF!</definedName>
    <definedName name="__123Graph_F" localSheetId="69" hidden="1">#REF!</definedName>
    <definedName name="__123Graph_F" localSheetId="67" hidden="1">#REF!</definedName>
    <definedName name="__123Graph_F" localSheetId="4" hidden="1">#REF!</definedName>
    <definedName name="__123Graph_F" localSheetId="63" hidden="1">#REF!</definedName>
    <definedName name="__123Graph_F" hidden="1">#REF!</definedName>
    <definedName name="__123Graph_X" localSheetId="9" hidden="1">#REF!</definedName>
    <definedName name="__123Graph_X" localSheetId="69" hidden="1">#REF!</definedName>
    <definedName name="__123Graph_X" localSheetId="67" hidden="1">#REF!</definedName>
    <definedName name="__123Graph_X" localSheetId="4" hidden="1">#REF!</definedName>
    <definedName name="__123Graph_X" localSheetId="63" hidden="1">#REF!</definedName>
    <definedName name="__123Graph_X" hidden="1">#REF!</definedName>
    <definedName name="__123Graph_XMAIN" localSheetId="9" hidden="1">#REF!</definedName>
    <definedName name="__123Graph_XMAIN" localSheetId="69" hidden="1">'[1]ETAPA 50 SMMLV'!#REF!</definedName>
    <definedName name="__123Graph_XMAIN" localSheetId="67" hidden="1">#REF!</definedName>
    <definedName name="__123Graph_XMAIN" localSheetId="4" hidden="1">#REF!</definedName>
    <definedName name="__123Graph_XMAIN" localSheetId="63" hidden="1">#REF!</definedName>
    <definedName name="__123Graph_XMAIN" hidden="1">#REF!</definedName>
    <definedName name="__CMU005" localSheetId="9" hidden="1">#REF!</definedName>
    <definedName name="__CMU005" localSheetId="69" hidden="1">#REF!</definedName>
    <definedName name="__CMU005" localSheetId="67" hidden="1">#REF!</definedName>
    <definedName name="__CMU005" localSheetId="4" hidden="1">#REF!</definedName>
    <definedName name="__CMU005" localSheetId="63" hidden="1">#REF!</definedName>
    <definedName name="__CMU005" hidden="1">#REF!</definedName>
    <definedName name="__xlfn.BAHTTEXT" hidden="1">#NAME?</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MU005" localSheetId="9" hidden="1">#REF!</definedName>
    <definedName name="_CMU005" localSheetId="69" hidden="1">#REF!</definedName>
    <definedName name="_CMU005" localSheetId="67" hidden="1">#REF!</definedName>
    <definedName name="_CMU005" localSheetId="4" hidden="1">#REF!</definedName>
    <definedName name="_CMU005" localSheetId="63" hidden="1">#REF!</definedName>
    <definedName name="_CMU005" hidden="1">#REF!</definedName>
    <definedName name="_F" localSheetId="9" hidden="1">#REF!</definedName>
    <definedName name="_F" localSheetId="69" hidden="1">#REF!</definedName>
    <definedName name="_F" localSheetId="67" hidden="1">#REF!</definedName>
    <definedName name="_F" localSheetId="4" hidden="1">#REF!</definedName>
    <definedName name="_F" localSheetId="63" hidden="1">#REF!</definedName>
    <definedName name="_F" hidden="1">#REF!</definedName>
    <definedName name="_Fill" localSheetId="9" hidden="1">#REF!</definedName>
    <definedName name="_Fill" localSheetId="69" hidden="1">#REF!</definedName>
    <definedName name="_Fill" localSheetId="67" hidden="1">#REF!</definedName>
    <definedName name="_Fill" localSheetId="4" hidden="1">#REF!</definedName>
    <definedName name="_Fill" localSheetId="63" hidden="1">#REF!</definedName>
    <definedName name="_Fill" hidden="1">#REF!</definedName>
    <definedName name="_xlnm._FilterDatabase" localSheetId="63" hidden="1">TRANSPORTE!$B$38:$C$45</definedName>
    <definedName name="_Key1" localSheetId="9" hidden="1">#REF!</definedName>
    <definedName name="_Key1" localSheetId="69" hidden="1">#REF!</definedName>
    <definedName name="_Key1" localSheetId="67" hidden="1">#REF!</definedName>
    <definedName name="_Key1" localSheetId="4" hidden="1">#REF!</definedName>
    <definedName name="_Key1" localSheetId="63" hidden="1">#REF!</definedName>
    <definedName name="_Key1" hidden="1">#REF!</definedName>
    <definedName name="_Key2" localSheetId="9" hidden="1">#REF!</definedName>
    <definedName name="_Key2" localSheetId="69" hidden="1">#REF!</definedName>
    <definedName name="_Key2" localSheetId="67" hidden="1">#REF!</definedName>
    <definedName name="_Key2" localSheetId="4" hidden="1">#REF!</definedName>
    <definedName name="_Key2" localSheetId="63" hidden="1">#REF!</definedName>
    <definedName name="_Key2" hidden="1">#REF!</definedName>
    <definedName name="_Order1" hidden="1">0</definedName>
    <definedName name="_Order2" hidden="1">0</definedName>
    <definedName name="_Regression_Out" localSheetId="9" hidden="1">#REF!</definedName>
    <definedName name="_Regression_Out" localSheetId="69" hidden="1">#REF!</definedName>
    <definedName name="_Regression_Out" localSheetId="67" hidden="1">#REF!</definedName>
    <definedName name="_Regression_Out" localSheetId="4" hidden="1">#REF!</definedName>
    <definedName name="_Regression_Out" localSheetId="63" hidden="1">#REF!</definedName>
    <definedName name="_Regression_Out" hidden="1">#REF!</definedName>
    <definedName name="_Regression_X" localSheetId="9" hidden="1">#REF!</definedName>
    <definedName name="_Regression_X" localSheetId="69" hidden="1">#REF!</definedName>
    <definedName name="_Regression_X" localSheetId="67" hidden="1">#REF!</definedName>
    <definedName name="_Regression_X" localSheetId="4" hidden="1">#REF!</definedName>
    <definedName name="_Regression_X" localSheetId="63" hidden="1">#REF!</definedName>
    <definedName name="_Regression_X" hidden="1">#REF!</definedName>
    <definedName name="_Regression_Y" localSheetId="9" hidden="1">#REF!</definedName>
    <definedName name="_Regression_Y" localSheetId="69" hidden="1">#REF!</definedName>
    <definedName name="_Regression_Y" localSheetId="67" hidden="1">#REF!</definedName>
    <definedName name="_Regression_Y" localSheetId="4" hidden="1">#REF!</definedName>
    <definedName name="_Regression_Y" localSheetId="63" hidden="1">#REF!</definedName>
    <definedName name="_Regression_Y" hidden="1">#REF!</definedName>
    <definedName name="_Sort" localSheetId="9" hidden="1">#REF!</definedName>
    <definedName name="_Sort" localSheetId="69" hidden="1">#REF!</definedName>
    <definedName name="_Sort" localSheetId="67" hidden="1">#REF!</definedName>
    <definedName name="_Sort" localSheetId="4" hidden="1">#REF!</definedName>
    <definedName name="_Sort" localSheetId="63" hidden="1">#REF!</definedName>
    <definedName name="_Sort" hidden="1">#REF!</definedName>
    <definedName name="_Table2_Out" localSheetId="9" hidden="1">#REF!</definedName>
    <definedName name="_Table2_Out" localSheetId="69" hidden="1">#REF!</definedName>
    <definedName name="_Table2_Out" localSheetId="67" hidden="1">#REF!</definedName>
    <definedName name="_Table2_Out" localSheetId="4" hidden="1">#REF!</definedName>
    <definedName name="_Table2_Out" localSheetId="63" hidden="1">#REF!</definedName>
    <definedName name="_Table2_Out" hidden="1">#REF!</definedName>
    <definedName name="A.A..A" localSheetId="9" hidden="1">{"total",#N/A,FALSE,"TD 0% ";"total",#N/A,FALSE,"TD 12%";"total",#N/A,FALSE,"TD 10%"}</definedName>
    <definedName name="A.A..A" localSheetId="69" hidden="1">{"total",#N/A,FALSE,"TD 0% ";"total",#N/A,FALSE,"TD 12%";"total",#N/A,FALSE,"TD 10%"}</definedName>
    <definedName name="A.A..A" localSheetId="67" hidden="1">{"total",#N/A,FALSE,"TD 0% ";"total",#N/A,FALSE,"TD 12%";"total",#N/A,FALSE,"TD 10%"}</definedName>
    <definedName name="A.A..A" localSheetId="4" hidden="1">{"total",#N/A,FALSE,"TD 0% ";"total",#N/A,FALSE,"TD 12%";"total",#N/A,FALSE,"TD 10%"}</definedName>
    <definedName name="A.A..A" localSheetId="68" hidden="1">{"total",#N/A,FALSE,"TD 0% ";"total",#N/A,FALSE,"TD 12%";"total",#N/A,FALSE,"TD 10%"}</definedName>
    <definedName name="A.A..A" localSheetId="64" hidden="1">{"total",#N/A,FALSE,"TD 0% ";"total",#N/A,FALSE,"TD 12%";"total",#N/A,FALSE,"TD 10%"}</definedName>
    <definedName name="A.A..A" localSheetId="5" hidden="1">{"total",#N/A,FALSE,"TD 0% ";"total",#N/A,FALSE,"TD 12%";"total",#N/A,FALSE,"TD 10%"}</definedName>
    <definedName name="A.A..A" localSheetId="63" hidden="1">{"total",#N/A,FALSE,"TD 0% ";"total",#N/A,FALSE,"TD 12%";"total",#N/A,FALSE,"TD 10%"}</definedName>
    <definedName name="A.A..A" hidden="1">{"total",#N/A,FALSE,"TD 0% ";"total",#N/A,FALSE,"TD 12%";"total",#N/A,FALSE,"TD 10%"}</definedName>
    <definedName name="AA" localSheetId="9" hidden="1">{"total",#N/A,FALSE,"TD 0% ";"total",#N/A,FALSE,"TD 12%";"total",#N/A,FALSE,"TD 10%"}</definedName>
    <definedName name="AA" localSheetId="69" hidden="1">{#N/A,#N/A,TRUE,"INGENIERIA";#N/A,#N/A,TRUE,"COMPRAS";#N/A,#N/A,TRUE,"DIRECCION";#N/A,#N/A,TRUE,"RESUMEN"}</definedName>
    <definedName name="AA" localSheetId="67" hidden="1">{"total",#N/A,FALSE,"TD 0% ";"total",#N/A,FALSE,"TD 12%";"total",#N/A,FALSE,"TD 10%"}</definedName>
    <definedName name="AA" localSheetId="4" hidden="1">{"total",#N/A,FALSE,"TD 0% ";"total",#N/A,FALSE,"TD 12%";"total",#N/A,FALSE,"TD 10%"}</definedName>
    <definedName name="AA" localSheetId="68" hidden="1">{"total",#N/A,FALSE,"TD 0% ";"total",#N/A,FALSE,"TD 12%";"total",#N/A,FALSE,"TD 10%"}</definedName>
    <definedName name="AA" localSheetId="64" hidden="1">{"total",#N/A,FALSE,"TD 0% ";"total",#N/A,FALSE,"TD 12%";"total",#N/A,FALSE,"TD 10%"}</definedName>
    <definedName name="AA" localSheetId="5" hidden="1">{"total",#N/A,FALSE,"TD 0% ";"total",#N/A,FALSE,"TD 12%";"total",#N/A,FALSE,"TD 10%"}</definedName>
    <definedName name="AA" localSheetId="63" hidden="1">{"total",#N/A,FALSE,"TD 0% ";"total",#N/A,FALSE,"TD 12%";"total",#N/A,FALSE,"TD 10%"}</definedName>
    <definedName name="AA" hidden="1">{"total",#N/A,FALSE,"TD 0% ";"total",#N/A,FALSE,"TD 12%";"total",#N/A,FALSE,"TD 10%"}</definedName>
    <definedName name="AC" localSheetId="9" hidden="1">{#N/A,#N/A,TRUE,"INGENIERIA";#N/A,#N/A,TRUE,"COMPRAS";#N/A,#N/A,TRUE,"DIRECCION";#N/A,#N/A,TRUE,"RESUMEN"}</definedName>
    <definedName name="AC" localSheetId="69" hidden="1">{#N/A,#N/A,TRUE,"INGENIERIA";#N/A,#N/A,TRUE,"COMPRAS";#N/A,#N/A,TRUE,"DIRECCION";#N/A,#N/A,TRUE,"RESUMEN"}</definedName>
    <definedName name="AC" localSheetId="67" hidden="1">{#N/A,#N/A,TRUE,"INGENIERIA";#N/A,#N/A,TRUE,"COMPRAS";#N/A,#N/A,TRUE,"DIRECCION";#N/A,#N/A,TRUE,"RESUMEN"}</definedName>
    <definedName name="AC" localSheetId="4" hidden="1">{#N/A,#N/A,TRUE,"INGENIERIA";#N/A,#N/A,TRUE,"COMPRAS";#N/A,#N/A,TRUE,"DIRECCION";#N/A,#N/A,TRUE,"RESUMEN"}</definedName>
    <definedName name="AC" localSheetId="68" hidden="1">{#N/A,#N/A,TRUE,"INGENIERIA";#N/A,#N/A,TRUE,"COMPRAS";#N/A,#N/A,TRUE,"DIRECCION";#N/A,#N/A,TRUE,"RESUMEN"}</definedName>
    <definedName name="AC" localSheetId="64" hidden="1">{#N/A,#N/A,TRUE,"INGENIERIA";#N/A,#N/A,TRUE,"COMPRAS";#N/A,#N/A,TRUE,"DIRECCION";#N/A,#N/A,TRUE,"RESUMEN"}</definedName>
    <definedName name="AC" localSheetId="5" hidden="1">{#N/A,#N/A,TRUE,"INGENIERIA";#N/A,#N/A,TRUE,"COMPRAS";#N/A,#N/A,TRUE,"DIRECCION";#N/A,#N/A,TRUE,"RESUMEN"}</definedName>
    <definedName name="AC" localSheetId="63" hidden="1">{#N/A,#N/A,TRUE,"INGENIERIA";#N/A,#N/A,TRUE,"COMPRAS";#N/A,#N/A,TRUE,"DIRECCION";#N/A,#N/A,TRUE,"RESUMEN"}</definedName>
    <definedName name="AC" hidden="1">{#N/A,#N/A,TRUE,"INGENIERIA";#N/A,#N/A,TRUE,"COMPRAS";#N/A,#N/A,TRUE,"DIRECCION";#N/A,#N/A,TRUE,"RESUMEN"}</definedName>
    <definedName name="AccessDatabase" hidden="1">"C:\C-314\VOLUMENES\volfin4.mdb"</definedName>
    <definedName name="AD" localSheetId="9" hidden="1">{#N/A,#N/A,TRUE,"INGENIERIA";#N/A,#N/A,TRUE,"COMPRAS";#N/A,#N/A,TRUE,"DIRECCION";#N/A,#N/A,TRUE,"RESUMEN"}</definedName>
    <definedName name="AD" localSheetId="69" hidden="1">{#N/A,#N/A,TRUE,"INGENIERIA";#N/A,#N/A,TRUE,"COMPRAS";#N/A,#N/A,TRUE,"DIRECCION";#N/A,#N/A,TRUE,"RESUMEN"}</definedName>
    <definedName name="AD" localSheetId="67" hidden="1">{#N/A,#N/A,TRUE,"INGENIERIA";#N/A,#N/A,TRUE,"COMPRAS";#N/A,#N/A,TRUE,"DIRECCION";#N/A,#N/A,TRUE,"RESUMEN"}</definedName>
    <definedName name="AD" localSheetId="4" hidden="1">{#N/A,#N/A,TRUE,"INGENIERIA";#N/A,#N/A,TRUE,"COMPRAS";#N/A,#N/A,TRUE,"DIRECCION";#N/A,#N/A,TRUE,"RESUMEN"}</definedName>
    <definedName name="AD" localSheetId="68" hidden="1">{#N/A,#N/A,TRUE,"INGENIERIA";#N/A,#N/A,TRUE,"COMPRAS";#N/A,#N/A,TRUE,"DIRECCION";#N/A,#N/A,TRUE,"RESUMEN"}</definedName>
    <definedName name="AD" localSheetId="64" hidden="1">{#N/A,#N/A,TRUE,"INGENIERIA";#N/A,#N/A,TRUE,"COMPRAS";#N/A,#N/A,TRUE,"DIRECCION";#N/A,#N/A,TRUE,"RESUMEN"}</definedName>
    <definedName name="AD" localSheetId="5" hidden="1">{#N/A,#N/A,TRUE,"INGENIERIA";#N/A,#N/A,TRUE,"COMPRAS";#N/A,#N/A,TRUE,"DIRECCION";#N/A,#N/A,TRUE,"RESUMEN"}</definedName>
    <definedName name="AD" localSheetId="63" hidden="1">{#N/A,#N/A,TRUE,"INGENIERIA";#N/A,#N/A,TRUE,"COMPRAS";#N/A,#N/A,TRUE,"DIRECCION";#N/A,#N/A,TRUE,"RESUMEN"}</definedName>
    <definedName name="AD" hidden="1">{#N/A,#N/A,TRUE,"INGENIERIA";#N/A,#N/A,TRUE,"COMPRAS";#N/A,#N/A,TRUE,"DIRECCION";#N/A,#N/A,TRUE,"RESUMEN"}</definedName>
    <definedName name="AE" localSheetId="9" hidden="1">{#N/A,#N/A,TRUE,"INGENIERIA";#N/A,#N/A,TRUE,"COMPRAS";#N/A,#N/A,TRUE,"DIRECCION";#N/A,#N/A,TRUE,"RESUMEN"}</definedName>
    <definedName name="AE" localSheetId="69" hidden="1">{#N/A,#N/A,TRUE,"INGENIERIA";#N/A,#N/A,TRUE,"COMPRAS";#N/A,#N/A,TRUE,"DIRECCION";#N/A,#N/A,TRUE,"RESUMEN"}</definedName>
    <definedName name="AE" localSheetId="67" hidden="1">{#N/A,#N/A,TRUE,"INGENIERIA";#N/A,#N/A,TRUE,"COMPRAS";#N/A,#N/A,TRUE,"DIRECCION";#N/A,#N/A,TRUE,"RESUMEN"}</definedName>
    <definedName name="AE" localSheetId="4" hidden="1">{#N/A,#N/A,TRUE,"INGENIERIA";#N/A,#N/A,TRUE,"COMPRAS";#N/A,#N/A,TRUE,"DIRECCION";#N/A,#N/A,TRUE,"RESUMEN"}</definedName>
    <definedName name="AE" localSheetId="68" hidden="1">{#N/A,#N/A,TRUE,"INGENIERIA";#N/A,#N/A,TRUE,"COMPRAS";#N/A,#N/A,TRUE,"DIRECCION";#N/A,#N/A,TRUE,"RESUMEN"}</definedName>
    <definedName name="AE" localSheetId="64" hidden="1">{#N/A,#N/A,TRUE,"INGENIERIA";#N/A,#N/A,TRUE,"COMPRAS";#N/A,#N/A,TRUE,"DIRECCION";#N/A,#N/A,TRUE,"RESUMEN"}</definedName>
    <definedName name="AE" localSheetId="5" hidden="1">{#N/A,#N/A,TRUE,"INGENIERIA";#N/A,#N/A,TRUE,"COMPRAS";#N/A,#N/A,TRUE,"DIRECCION";#N/A,#N/A,TRUE,"RESUMEN"}</definedName>
    <definedName name="AE" localSheetId="63" hidden="1">{#N/A,#N/A,TRUE,"INGENIERIA";#N/A,#N/A,TRUE,"COMPRAS";#N/A,#N/A,TRUE,"DIRECCION";#N/A,#N/A,TRUE,"RESUMEN"}</definedName>
    <definedName name="AE" hidden="1">{#N/A,#N/A,TRUE,"INGENIERIA";#N/A,#N/A,TRUE,"COMPRAS";#N/A,#N/A,TRUE,"DIRECCION";#N/A,#N/A,TRUE,"RESUMEN"}</definedName>
    <definedName name="AF" localSheetId="9" hidden="1">{#N/A,#N/A,TRUE,"INGENIERIA";#N/A,#N/A,TRUE,"COMPRAS";#N/A,#N/A,TRUE,"DIRECCION";#N/A,#N/A,TRUE,"RESUMEN"}</definedName>
    <definedName name="AF" localSheetId="69" hidden="1">{#N/A,#N/A,TRUE,"INGENIERIA";#N/A,#N/A,TRUE,"COMPRAS";#N/A,#N/A,TRUE,"DIRECCION";#N/A,#N/A,TRUE,"RESUMEN"}</definedName>
    <definedName name="AF" localSheetId="67" hidden="1">{#N/A,#N/A,TRUE,"INGENIERIA";#N/A,#N/A,TRUE,"COMPRAS";#N/A,#N/A,TRUE,"DIRECCION";#N/A,#N/A,TRUE,"RESUMEN"}</definedName>
    <definedName name="AF" localSheetId="4" hidden="1">{#N/A,#N/A,TRUE,"INGENIERIA";#N/A,#N/A,TRUE,"COMPRAS";#N/A,#N/A,TRUE,"DIRECCION";#N/A,#N/A,TRUE,"RESUMEN"}</definedName>
    <definedName name="AF" localSheetId="68" hidden="1">{#N/A,#N/A,TRUE,"INGENIERIA";#N/A,#N/A,TRUE,"COMPRAS";#N/A,#N/A,TRUE,"DIRECCION";#N/A,#N/A,TRUE,"RESUMEN"}</definedName>
    <definedName name="AF" localSheetId="64" hidden="1">{#N/A,#N/A,TRUE,"INGENIERIA";#N/A,#N/A,TRUE,"COMPRAS";#N/A,#N/A,TRUE,"DIRECCION";#N/A,#N/A,TRUE,"RESUMEN"}</definedName>
    <definedName name="AF" localSheetId="5" hidden="1">{#N/A,#N/A,TRUE,"INGENIERIA";#N/A,#N/A,TRUE,"COMPRAS";#N/A,#N/A,TRUE,"DIRECCION";#N/A,#N/A,TRUE,"RESUMEN"}</definedName>
    <definedName name="AF" localSheetId="63" hidden="1">{#N/A,#N/A,TRUE,"INGENIERIA";#N/A,#N/A,TRUE,"COMPRAS";#N/A,#N/A,TRUE,"DIRECCION";#N/A,#N/A,TRUE,"RESUMEN"}</definedName>
    <definedName name="AF" hidden="1">{#N/A,#N/A,TRUE,"INGENIERIA";#N/A,#N/A,TRUE,"COMPRAS";#N/A,#N/A,TRUE,"DIRECCION";#N/A,#N/A,TRUE,"RESUMEN"}</definedName>
    <definedName name="AG"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6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6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6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6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6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H" localSheetId="9" hidden="1">{#N/A,#N/A,TRUE,"INGENIERIA";#N/A,#N/A,TRUE,"COMPRAS";#N/A,#N/A,TRUE,"DIRECCION";#N/A,#N/A,TRUE,"RESUMEN"}</definedName>
    <definedName name="AH" localSheetId="69" hidden="1">{#N/A,#N/A,TRUE,"INGENIERIA";#N/A,#N/A,TRUE,"COMPRAS";#N/A,#N/A,TRUE,"DIRECCION";#N/A,#N/A,TRUE,"RESUMEN"}</definedName>
    <definedName name="AH" localSheetId="67" hidden="1">{#N/A,#N/A,TRUE,"INGENIERIA";#N/A,#N/A,TRUE,"COMPRAS";#N/A,#N/A,TRUE,"DIRECCION";#N/A,#N/A,TRUE,"RESUMEN"}</definedName>
    <definedName name="AH" localSheetId="4" hidden="1">{#N/A,#N/A,TRUE,"INGENIERIA";#N/A,#N/A,TRUE,"COMPRAS";#N/A,#N/A,TRUE,"DIRECCION";#N/A,#N/A,TRUE,"RESUMEN"}</definedName>
    <definedName name="AH" localSheetId="68" hidden="1">{#N/A,#N/A,TRUE,"INGENIERIA";#N/A,#N/A,TRUE,"COMPRAS";#N/A,#N/A,TRUE,"DIRECCION";#N/A,#N/A,TRUE,"RESUMEN"}</definedName>
    <definedName name="AH" localSheetId="64" hidden="1">{#N/A,#N/A,TRUE,"INGENIERIA";#N/A,#N/A,TRUE,"COMPRAS";#N/A,#N/A,TRUE,"DIRECCION";#N/A,#N/A,TRUE,"RESUMEN"}</definedName>
    <definedName name="AH" localSheetId="5" hidden="1">{#N/A,#N/A,TRUE,"INGENIERIA";#N/A,#N/A,TRUE,"COMPRAS";#N/A,#N/A,TRUE,"DIRECCION";#N/A,#N/A,TRUE,"RESUMEN"}</definedName>
    <definedName name="AH" localSheetId="63" hidden="1">{#N/A,#N/A,TRUE,"INGENIERIA";#N/A,#N/A,TRUE,"COMPRAS";#N/A,#N/A,TRUE,"DIRECCION";#N/A,#N/A,TRUE,"RESUMEN"}</definedName>
    <definedName name="AH" hidden="1">{#N/A,#N/A,TRUE,"INGENIERIA";#N/A,#N/A,TRUE,"COMPRAS";#N/A,#N/A,TRUE,"DIRECCION";#N/A,#N/A,TRUE,"RESUMEN"}</definedName>
    <definedName name="Analyst" localSheetId="9" hidden="1">#REF!</definedName>
    <definedName name="Analyst" localSheetId="69" hidden="1">#REF!</definedName>
    <definedName name="Analyst" localSheetId="67" hidden="1">#REF!</definedName>
    <definedName name="Analyst" localSheetId="4" hidden="1">#REF!</definedName>
    <definedName name="Analyst" localSheetId="63" hidden="1">#REF!</definedName>
    <definedName name="Analyst" hidden="1">#REF!</definedName>
    <definedName name="anscount" hidden="1">10</definedName>
    <definedName name="_xlnm.Print_Area" localSheetId="17">'2.2.1'!$A$1:$G$56</definedName>
    <definedName name="_xlnm.Print_Area" localSheetId="21">'3.1.1'!$A$1:$G$44</definedName>
    <definedName name="_xlnm.Print_Area" localSheetId="44">'3.2.10'!$A$1:$G$43</definedName>
    <definedName name="_xlnm.Print_Area" localSheetId="45">'3.2.11'!$A$1:$G$35</definedName>
    <definedName name="_xlnm.Print_Area" localSheetId="46">'3.2.12'!$A$1:$G$48</definedName>
    <definedName name="_xlnm.Print_Area" localSheetId="39">'3.2.5'!$A$1:$G$41</definedName>
    <definedName name="_xlnm.Print_Area" localSheetId="40">'3.2.6'!$A$1:$G$41</definedName>
    <definedName name="_xlnm.Print_Area" localSheetId="41">'3.2.7'!$A$1:$G$36</definedName>
    <definedName name="_xlnm.Print_Area" localSheetId="42">'3.2.8'!$A$1:$G$42</definedName>
    <definedName name="_xlnm.Print_Area" localSheetId="43">'3.2.9'!$A$1:$G$37</definedName>
    <definedName name="_xlnm.Print_Area" localSheetId="51">'4.1'!$A$1:$G$39</definedName>
    <definedName name="_xlnm.Print_Area" localSheetId="60">'4.10'!$A$1:$G$38</definedName>
    <definedName name="_xlnm.Print_Area" localSheetId="61">'4.11'!$A$1:$G$43</definedName>
    <definedName name="_xlnm.Print_Area" localSheetId="52">'4.2'!$A$1:$G$43</definedName>
    <definedName name="_xlnm.Print_Area" localSheetId="53">'4.3'!$A$1:$G$44</definedName>
    <definedName name="_xlnm.Print_Area" localSheetId="54">'4.4'!$A$1:$G$45</definedName>
    <definedName name="_xlnm.Print_Area" localSheetId="55">'4.5'!$A$1:$G$47</definedName>
    <definedName name="_xlnm.Print_Area" localSheetId="56">'4.6'!$A$1:$G$41</definedName>
    <definedName name="_xlnm.Print_Area" localSheetId="57">'4.7'!$A$1:$G$42</definedName>
    <definedName name="_xlnm.Print_Area" localSheetId="58">'4.8'!$A$1:$G$38</definedName>
    <definedName name="_xlnm.Print_Area" localSheetId="59">'4.9'!$A$1:$G$42</definedName>
    <definedName name="_xlnm.Print_Area" localSheetId="8">'Cadena de Valor'!$A$1:$P$51</definedName>
    <definedName name="_xlnm.Print_Area" localSheetId="69">'Cronograma y Flujo de Fondos'!$A$1:$O$45</definedName>
    <definedName name="_xlnm.Print_Area" localSheetId="64">MATERIALES!$A$1:$H$452</definedName>
    <definedName name="_xlnm.Print_Area" localSheetId="5">'Memoria Civil'!$A$1:$O$195</definedName>
    <definedName name="_xlnm.Print_Area" localSheetId="1">'PRES GENERAL MR'!$A$1:$P$49</definedName>
    <definedName name="_xlnm.Print_Area" localSheetId="3">'PRES MR 5 KW'!$A$1:$P$44</definedName>
    <definedName name="_xlnm.Print_Area" localSheetId="2">'PRES. SISFV 2010wp'!$A$1:$P$24</definedName>
    <definedName name="_xlnm.Print_Area" localSheetId="63">TRANSPORTE!$A$1:$F$78</definedName>
    <definedName name="_xlnm.Print_Area" localSheetId="0">Usuarios!$A$1:$K$10</definedName>
    <definedName name="arg" localSheetId="9" hidden="1">#REF!</definedName>
    <definedName name="arg" localSheetId="69" hidden="1">[2]MI!#REF!</definedName>
    <definedName name="arg" localSheetId="67" hidden="1">#REF!</definedName>
    <definedName name="arg" localSheetId="4" hidden="1">#REF!</definedName>
    <definedName name="arg" localSheetId="63" hidden="1">#REF!</definedName>
    <definedName name="arg" hidden="1">#REF!</definedName>
    <definedName name="BS_Data_Col" localSheetId="9" hidden="1">#REF!</definedName>
    <definedName name="BS_Data_Col" localSheetId="69" hidden="1">#REF!</definedName>
    <definedName name="BS_Data_Col" localSheetId="67" hidden="1">#REF!</definedName>
    <definedName name="BS_Data_Col" localSheetId="4" hidden="1">#REF!</definedName>
    <definedName name="BS_Data_Col" localSheetId="63" hidden="1">#REF!</definedName>
    <definedName name="BS_Data_Col" hidden="1">#REF!</definedName>
    <definedName name="BSpb" localSheetId="9" hidden="1">#REF!</definedName>
    <definedName name="BSpb" localSheetId="69" hidden="1">#REF!</definedName>
    <definedName name="BSpb" localSheetId="67" hidden="1">#REF!</definedName>
    <definedName name="BSpb" localSheetId="4" hidden="1">#REF!</definedName>
    <definedName name="BSpb" localSheetId="63" hidden="1">#REF!</definedName>
    <definedName name="BSpb" hidden="1">#REF!</definedName>
    <definedName name="Capitalpb" localSheetId="9" hidden="1">#REF!</definedName>
    <definedName name="Capitalpb" localSheetId="69" hidden="1">#REF!</definedName>
    <definedName name="Capitalpb" localSheetId="67" hidden="1">#REF!</definedName>
    <definedName name="Capitalpb" localSheetId="4" hidden="1">#REF!</definedName>
    <definedName name="Capitalpb" localSheetId="63" hidden="1">#REF!</definedName>
    <definedName name="Capitalpb" hidden="1">#REF!</definedName>
    <definedName name="CapitalStructure" localSheetId="9" hidden="1">#REF!</definedName>
    <definedName name="CapitalStructure" localSheetId="69" hidden="1">#REF!</definedName>
    <definedName name="CapitalStructure" localSheetId="67" hidden="1">#REF!</definedName>
    <definedName name="CapitalStructure" localSheetId="4" hidden="1">#REF!</definedName>
    <definedName name="CapitalStructure" localSheetId="63" hidden="1">#REF!</definedName>
    <definedName name="CapitalStructure" hidden="1">#REF!</definedName>
    <definedName name="Cashpb" localSheetId="9" hidden="1">#REF!</definedName>
    <definedName name="Cashpb" localSheetId="69" hidden="1">#REF!</definedName>
    <definedName name="Cashpb" localSheetId="67" hidden="1">#REF!</definedName>
    <definedName name="Cashpb" localSheetId="4" hidden="1">#REF!</definedName>
    <definedName name="Cashpb" localSheetId="63" hidden="1">#REF!</definedName>
    <definedName name="Cashpb" hidden="1">#REF!</definedName>
    <definedName name="Change_in_Cash" localSheetId="9" hidden="1">#REF!</definedName>
    <definedName name="Change_in_Cash" localSheetId="69" hidden="1">#REF!</definedName>
    <definedName name="Change_in_Cash" localSheetId="67" hidden="1">#REF!</definedName>
    <definedName name="Change_in_Cash" localSheetId="4" hidden="1">#REF!</definedName>
    <definedName name="Change_in_Cash" localSheetId="63" hidden="1">#REF!</definedName>
    <definedName name="Change_in_Cash" hidden="1">#REF!</definedName>
    <definedName name="Check_to_Cash" localSheetId="9" hidden="1">#REF!</definedName>
    <definedName name="Check_to_Cash" localSheetId="69" hidden="1">#REF!</definedName>
    <definedName name="Check_to_Cash" localSheetId="67" hidden="1">#REF!</definedName>
    <definedName name="Check_to_Cash" localSheetId="4" hidden="1">#REF!</definedName>
    <definedName name="Check_to_Cash" localSheetId="63" hidden="1">#REF!</definedName>
    <definedName name="Check_to_Cash" hidden="1">#REF!</definedName>
    <definedName name="czz" localSheetId="9" hidden="1">#REF!</definedName>
    <definedName name="czz" localSheetId="69" hidden="1">'[1]ETAPA 50 SMMLV'!#REF!</definedName>
    <definedName name="czz" localSheetId="67" hidden="1">#REF!</definedName>
    <definedName name="czz" localSheetId="4" hidden="1">#REF!</definedName>
    <definedName name="czz" localSheetId="63" hidden="1">#REF!</definedName>
    <definedName name="czz" hidden="1">#REF!</definedName>
    <definedName name="DADADAD" localSheetId="9" hidden="1">{#N/A,#N/A,TRUE,"CODIGO DEPENDENCIA"}</definedName>
    <definedName name="DADADAD" localSheetId="69" hidden="1">{#N/A,#N/A,TRUE,"CODIGO DEPENDENCIA"}</definedName>
    <definedName name="DADADAD" localSheetId="67" hidden="1">{#N/A,#N/A,TRUE,"CODIGO DEPENDENCIA"}</definedName>
    <definedName name="DADADAD" localSheetId="4" hidden="1">{#N/A,#N/A,TRUE,"CODIGO DEPENDENCIA"}</definedName>
    <definedName name="DADADAD" localSheetId="68" hidden="1">{#N/A,#N/A,TRUE,"CODIGO DEPENDENCIA"}</definedName>
    <definedName name="DADADAD" localSheetId="64" hidden="1">{#N/A,#N/A,TRUE,"CODIGO DEPENDENCIA"}</definedName>
    <definedName name="DADADAD" localSheetId="5" hidden="1">{#N/A,#N/A,TRUE,"CODIGO DEPENDENCIA"}</definedName>
    <definedName name="DADADAD" localSheetId="63" hidden="1">{#N/A,#N/A,TRUE,"CODIGO DEPENDENCIA"}</definedName>
    <definedName name="DADADAD" hidden="1">{#N/A,#N/A,TRUE,"CODIGO DEPENDENCIA"}</definedName>
    <definedName name="Dealpb" localSheetId="9" hidden="1">#REF!</definedName>
    <definedName name="Dealpb" localSheetId="69" hidden="1">#REF!</definedName>
    <definedName name="Dealpb" localSheetId="67" hidden="1">#REF!</definedName>
    <definedName name="Dealpb" localSheetId="4" hidden="1">#REF!</definedName>
    <definedName name="Dealpb" localSheetId="63" hidden="1">#REF!</definedName>
    <definedName name="Dealpb" hidden="1">#REF!</definedName>
    <definedName name="DepreciationPB" localSheetId="9" hidden="1">#REF!</definedName>
    <definedName name="DepreciationPB" localSheetId="69" hidden="1">#REF!</definedName>
    <definedName name="DepreciationPB" localSheetId="67" hidden="1">#REF!</definedName>
    <definedName name="DepreciationPB" localSheetId="4" hidden="1">#REF!</definedName>
    <definedName name="DepreciationPB" localSheetId="63" hidden="1">#REF!</definedName>
    <definedName name="DepreciationPB" hidden="1">#REF!</definedName>
    <definedName name="DZ.Main" localSheetId="9" hidden="1">#REF!</definedName>
    <definedName name="DZ.Main" localSheetId="69" hidden="1">#REF!</definedName>
    <definedName name="DZ.Main" localSheetId="67" hidden="1">#REF!</definedName>
    <definedName name="DZ.Main" localSheetId="4" hidden="1">#REF!</definedName>
    <definedName name="DZ.Main" localSheetId="63" hidden="1">#REF!</definedName>
    <definedName name="DZ.Main" hidden="1">#REF!</definedName>
    <definedName name="ev.Calculation" hidden="1">-4135</definedName>
    <definedName name="ev.Initialized" hidden="1">FALSE</definedName>
    <definedName name="Executivepb" localSheetId="9" hidden="1">#REF!</definedName>
    <definedName name="Executivepb" localSheetId="69" hidden="1">#REF!</definedName>
    <definedName name="Executivepb" localSheetId="67" hidden="1">#REF!</definedName>
    <definedName name="Executivepb" localSheetId="4" hidden="1">#REF!</definedName>
    <definedName name="Executivepb" localSheetId="63" hidden="1">#REF!</definedName>
    <definedName name="Executivepb" hidden="1">#REF!</definedName>
    <definedName name="Factpb" localSheetId="9" hidden="1">#REF!</definedName>
    <definedName name="Factpb" localSheetId="69" hidden="1">#REF!</definedName>
    <definedName name="Factpb" localSheetId="67" hidden="1">#REF!</definedName>
    <definedName name="Factpb" localSheetId="4" hidden="1">#REF!</definedName>
    <definedName name="Factpb" localSheetId="63" hidden="1">#REF!</definedName>
    <definedName name="Factpb" hidden="1">#REF!</definedName>
    <definedName name="Factpb2" localSheetId="9" hidden="1">#REF!</definedName>
    <definedName name="Factpb2" localSheetId="69" hidden="1">#REF!</definedName>
    <definedName name="Factpb2" localSheetId="67" hidden="1">#REF!</definedName>
    <definedName name="Factpb2" localSheetId="4" hidden="1">#REF!</definedName>
    <definedName name="Factpb2" localSheetId="63" hidden="1">#REF!</definedName>
    <definedName name="Factpb2" hidden="1">#REF!</definedName>
    <definedName name="Financialpb" localSheetId="9" hidden="1">#REF!</definedName>
    <definedName name="Financialpb" localSheetId="69" hidden="1">#REF!</definedName>
    <definedName name="Financialpb" localSheetId="67" hidden="1">#REF!</definedName>
    <definedName name="Financialpb" localSheetId="4" hidden="1">#REF!</definedName>
    <definedName name="Financialpb" localSheetId="63" hidden="1">#REF!</definedName>
    <definedName name="Financialpb" hidden="1">#REF!</definedName>
    <definedName name="Financialpb2" localSheetId="9" hidden="1">#REF!</definedName>
    <definedName name="Financialpb2" localSheetId="69" hidden="1">#REF!</definedName>
    <definedName name="Financialpb2" localSheetId="67" hidden="1">#REF!</definedName>
    <definedName name="Financialpb2" localSheetId="4" hidden="1">#REF!</definedName>
    <definedName name="Financialpb2" localSheetId="63" hidden="1">#REF!</definedName>
    <definedName name="Financialpb2" hidden="1">#REF!</definedName>
    <definedName name="HisYear_0" localSheetId="9" hidden="1">#REF!</definedName>
    <definedName name="HisYear_0" localSheetId="69" hidden="1">#REF!</definedName>
    <definedName name="HisYear_0" localSheetId="67" hidden="1">#REF!</definedName>
    <definedName name="HisYear_0" localSheetId="4" hidden="1">#REF!</definedName>
    <definedName name="HisYear_0" localSheetId="63" hidden="1">#REF!</definedName>
    <definedName name="HisYear_0" hidden="1">#REF!</definedName>
    <definedName name="HisYear_1" localSheetId="9" hidden="1">#REF!</definedName>
    <definedName name="HisYear_1" localSheetId="69" hidden="1">#REF!</definedName>
    <definedName name="HisYear_1" localSheetId="67" hidden="1">#REF!</definedName>
    <definedName name="HisYear_1" localSheetId="4" hidden="1">#REF!</definedName>
    <definedName name="HisYear_1" localSheetId="63" hidden="1">#REF!</definedName>
    <definedName name="HisYear_1" hidden="1">#REF!</definedName>
    <definedName name="HisYear_2" localSheetId="9" hidden="1">#REF!</definedName>
    <definedName name="HisYear_2" localSheetId="69" hidden="1">#REF!</definedName>
    <definedName name="HisYear_2" localSheetId="67" hidden="1">#REF!</definedName>
    <definedName name="HisYear_2" localSheetId="4" hidden="1">#REF!</definedName>
    <definedName name="HisYear_2" localSheetId="63" hidden="1">#REF!</definedName>
    <definedName name="HisYear_2" hidden="1">#REF!</definedName>
    <definedName name="HisYear_3" localSheetId="9" hidden="1">#REF!</definedName>
    <definedName name="HisYear_3" localSheetId="69" hidden="1">#REF!</definedName>
    <definedName name="HisYear_3" localSheetId="67" hidden="1">#REF!</definedName>
    <definedName name="HisYear_3" localSheetId="4" hidden="1">#REF!</definedName>
    <definedName name="HisYear_3" localSheetId="63" hidden="1">#REF!</definedName>
    <definedName name="HisYear_3" hidden="1">#REF!</definedName>
    <definedName name="hn.ConvertZero1" localSheetId="9" hidden="1">#REF!,#REF!,#REF!,#REF!,#REF!,#REF!,#REF!,#REF!,#REF!,#REF!</definedName>
    <definedName name="hn.ConvertZero1" localSheetId="69" hidden="1">[3]LTM!$G$461:$J$461,[3]LTM!$G$463:$J$464,[3]LTM!$G$468:$J$469,[3]LTM!$G$473:$J$475,[3]LTM!$G$480:$J$480,[3]LTM!$G$484:$J$485,[3]LTM!$G$490:$J$490,[3]LTM!$G$514:$J$518,[3]LTM!$G$525:$J$526,[3]LTM!$G$532:$J$537</definedName>
    <definedName name="hn.ConvertZero1" localSheetId="67" hidden="1">#REF!,#REF!,#REF!,#REF!,#REF!,#REF!,#REF!,#REF!,#REF!,#REF!</definedName>
    <definedName name="hn.ConvertZero1" localSheetId="4" hidden="1">#REF!,#REF!,#REF!,#REF!,#REF!,#REF!,#REF!,#REF!,#REF!,#REF!</definedName>
    <definedName name="hn.ConvertZero1" localSheetId="63" hidden="1">#REF!,#REF!,#REF!,#REF!,#REF!,#REF!,#REF!,#REF!,#REF!,#REF!</definedName>
    <definedName name="hn.ConvertZero1" hidden="1">#REF!,#REF!,#REF!,#REF!,#REF!,#REF!,#REF!,#REF!,#REF!,#REF!</definedName>
    <definedName name="hn.ConvertZero2" localSheetId="9" hidden="1">#REF!,#REF!,#REF!,#REF!,#REF!,#REF!,#REF!,#REF!</definedName>
    <definedName name="hn.ConvertZero2" localSheetId="69" hidden="1">[3]LTM!$G$560:$J$560,[3]LTM!$H$590:$J$591,[3]LTM!$H$614:$J$614,[3]LTM!$H$635:$J$636,[3]LTM!$G$676:$J$680,[3]LTM!$G$686:$J$686,[3]LTM!$G$688:$J$694,[3]LTM!$G$681:$J$682</definedName>
    <definedName name="hn.ConvertZero2" localSheetId="67" hidden="1">#REF!,#REF!,#REF!,#REF!,#REF!,#REF!,#REF!,#REF!</definedName>
    <definedName name="hn.ConvertZero2" localSheetId="4" hidden="1">#REF!,#REF!,#REF!,#REF!,#REF!,#REF!,#REF!,#REF!</definedName>
    <definedName name="hn.ConvertZero2" localSheetId="63" hidden="1">#REF!,#REF!,#REF!,#REF!,#REF!,#REF!,#REF!,#REF!</definedName>
    <definedName name="hn.ConvertZero2" hidden="1">#REF!,#REF!,#REF!,#REF!,#REF!,#REF!,#REF!,#REF!</definedName>
    <definedName name="hn.ConvertZero3" localSheetId="9" hidden="1">#REF!,#REF!,#REF!,#REF!,#REF!</definedName>
    <definedName name="hn.ConvertZero3" localSheetId="69" hidden="1">[3]LTM!$G$699:$J$706,[3]LTM!$G$710:$J$714,[3]LTM!$G$717:$J$734,[3]LTM!$G$738:$J$738,[3]LTM!$G$745:$J$751</definedName>
    <definedName name="hn.ConvertZero3" localSheetId="67" hidden="1">#REF!,#REF!,#REF!,#REF!,#REF!</definedName>
    <definedName name="hn.ConvertZero3" localSheetId="4" hidden="1">#REF!,#REF!,#REF!,#REF!,#REF!</definedName>
    <definedName name="hn.ConvertZero3" localSheetId="63" hidden="1">#REF!,#REF!,#REF!,#REF!,#REF!</definedName>
    <definedName name="hn.ConvertZero3" hidden="1">#REF!,#REF!,#REF!,#REF!,#REF!</definedName>
    <definedName name="hn.ConvertZero4" localSheetId="9" hidden="1">#REF!,#REF!,#REF!,#REF!,#REF!,#REF!,#REF!,#REF!</definedName>
    <definedName name="hn.ConvertZero4" localSheetId="69" hidden="1">[3]LTM!$G$840:$J$840,[3]LTM!$H$1266:$J$1266,[3]LTM!$G$1267:$J$1267,[3]LTM!$G$1454:$J$1461,[3]LTM!$J$1462,[3]LTM!$J$1463,[3]LTM!$G$1468:$J$1469,[3]LTM!$L$1469:$N$1469</definedName>
    <definedName name="hn.ConvertZero4" localSheetId="67" hidden="1">#REF!,#REF!,#REF!,#REF!,#REF!,#REF!,#REF!,#REF!</definedName>
    <definedName name="hn.ConvertZero4" localSheetId="4" hidden="1">#REF!,#REF!,#REF!,#REF!,#REF!,#REF!,#REF!,#REF!</definedName>
    <definedName name="hn.ConvertZero4" localSheetId="63" hidden="1">#REF!,#REF!,#REF!,#REF!,#REF!,#REF!,#REF!,#REF!</definedName>
    <definedName name="hn.ConvertZero4" hidden="1">#REF!,#REF!,#REF!,#REF!,#REF!,#REF!,#REF!,#REF!</definedName>
    <definedName name="hn.ConvertZeroUnhide1" localSheetId="9" hidden="1">#REF!,#REF!,#REF!</definedName>
    <definedName name="hn.ConvertZeroUnhide1" localSheetId="69" hidden="1">[3]LTM!$G$1469:$J$1469,[3]LTM!$L$1469:$N$1469,[3]LTM!$H$1266:$J$1266</definedName>
    <definedName name="hn.ConvertZeroUnhide1" localSheetId="67" hidden="1">#REF!,#REF!,#REF!</definedName>
    <definedName name="hn.ConvertZeroUnhide1" localSheetId="4" hidden="1">#REF!,#REF!,#REF!</definedName>
    <definedName name="hn.ConvertZeroUnhide1" localSheetId="63" hidden="1">#REF!,#REF!,#REF!</definedName>
    <definedName name="hn.ConvertZeroUnhide1" hidden="1">#REF!,#REF!,#REF!</definedName>
    <definedName name="hn.Delete015" localSheetId="9" hidden="1">#REF!,#REF!,#REF!,#REF!</definedName>
    <definedName name="hn.Delete015" localSheetId="69" hidden="1">'[3]CREDIT STATS'!$B$9:$K$11,'[3]CREDIT STATS'!$O$11:$X$14,'[3]CREDIT STATS'!$B$25:$K$30,'[3]CREDIT STATS'!$O$25:$X$26</definedName>
    <definedName name="hn.Delete015" localSheetId="67" hidden="1">#REF!,#REF!,#REF!,#REF!</definedName>
    <definedName name="hn.Delete015" localSheetId="4" hidden="1">#REF!,#REF!,#REF!,#REF!</definedName>
    <definedName name="hn.Delete015" localSheetId="63" hidden="1">#REF!,#REF!,#REF!,#REF!</definedName>
    <definedName name="hn.Delete015" hidden="1">#REF!,#REF!,#REF!,#REF!</definedName>
    <definedName name="hn.DZ_MultByFXRates" localSheetId="9" hidden="1">#REF!,#REF!,#REF!,#REF!</definedName>
    <definedName name="hn.DZ_MultByFXRates" localSheetId="69" hidden="1">[3]DropZone!$B$2:$I$118,[3]DropZone!$B$120:$I$132,[3]DropZone!$B$134:$I$136,[3]DropZone!$B$138:$I$146</definedName>
    <definedName name="hn.DZ_MultByFXRates" localSheetId="67" hidden="1">#REF!,#REF!,#REF!,#REF!</definedName>
    <definedName name="hn.DZ_MultByFXRates" localSheetId="4" hidden="1">#REF!,#REF!,#REF!,#REF!</definedName>
    <definedName name="hn.DZ_MultByFXRates" localSheetId="63" hidden="1">#REF!,#REF!,#REF!,#REF!</definedName>
    <definedName name="hn.DZ_MultByFXRates" hidden="1">#REF!,#REF!,#REF!,#REF!</definedName>
    <definedName name="hn.ExtDb" hidden="1">FALSE</definedName>
    <definedName name="hn.LTM_MultByFXRates" localSheetId="9" hidden="1">#REF!,#REF!,#REF!,#REF!,#REF!,#REF!,#REF!</definedName>
    <definedName name="hn.LTM_MultByFXRates" localSheetId="69" hidden="1">[3]LTM!$G$461:$N$477,[3]LTM!$G$480:$N$539,[3]LTM!$G$548:$N$667,[3]LTM!$G$676:$N$1266,[3]LTM!$G$1454:$N$1461,[3]LTM!$G$1463:$N$1465,[3]LTM!$G$1468:$N$1469</definedName>
    <definedName name="hn.LTM_MultByFXRates" localSheetId="67" hidden="1">#REF!,#REF!,#REF!,#REF!,#REF!,#REF!,#REF!</definedName>
    <definedName name="hn.LTM_MultByFXRates" localSheetId="4" hidden="1">#REF!,#REF!,#REF!,#REF!,#REF!,#REF!,#REF!</definedName>
    <definedName name="hn.LTM_MultByFXRates" localSheetId="63" hidden="1">#REF!,#REF!,#REF!,#REF!,#REF!,#REF!,#REF!</definedName>
    <definedName name="hn.LTM_MultByFXRates" hidden="1">#REF!,#REF!,#REF!,#REF!,#REF!,#REF!,#REF!</definedName>
    <definedName name="hn.ModelType" hidden="1">"DEAL"</definedName>
    <definedName name="hn.ModelVersion" hidden="1">1</definedName>
    <definedName name="hn.MultbyFXRates" localSheetId="9" hidden="1">#REF!,#REF!,#REF!,#REF!,#REF!,#REF!,#REF!</definedName>
    <definedName name="hn.MultbyFXRates" localSheetId="69" hidden="1">[3]LTM!$G$461:$N$477,[3]LTM!$G$480:$N$539,[3]LTM!$G$548:$N$667,[3]LTM!$G$676:$N$1266,[3]LTM!$G$1454:$N$1461,[3]LTM!$G$1463:$N$1465,[3]LTM!$G$1468:$N$1469</definedName>
    <definedName name="hn.MultbyFXRates" localSheetId="67" hidden="1">#REF!,#REF!,#REF!,#REF!,#REF!,#REF!,#REF!</definedName>
    <definedName name="hn.MultbyFXRates" localSheetId="4" hidden="1">#REF!,#REF!,#REF!,#REF!,#REF!,#REF!,#REF!</definedName>
    <definedName name="hn.MultbyFXRates" localSheetId="63" hidden="1">#REF!,#REF!,#REF!,#REF!,#REF!,#REF!,#REF!</definedName>
    <definedName name="hn.MultbyFXRates" hidden="1">#REF!,#REF!,#REF!,#REF!,#REF!,#REF!,#REF!</definedName>
    <definedName name="hn.MultByFXRates1" localSheetId="9" hidden="1">#REF!,#REF!,#REF!,#REF!,#REF!</definedName>
    <definedName name="hn.MultByFXRates1" localSheetId="69" hidden="1">[3]LTM!$G$461:$G$477,[3]LTM!$G$480:$G$539,[3]LTM!$G$548:$G$562,[3]LTM!$G$676:$G$840,[3]LTM!$G$1454:$G$1469</definedName>
    <definedName name="hn.MultByFXRates1" localSheetId="67" hidden="1">#REF!,#REF!,#REF!,#REF!,#REF!</definedName>
    <definedName name="hn.MultByFXRates1" localSheetId="4" hidden="1">#REF!,#REF!,#REF!,#REF!,#REF!</definedName>
    <definedName name="hn.MultByFXRates1" localSheetId="63" hidden="1">#REF!,#REF!,#REF!,#REF!,#REF!</definedName>
    <definedName name="hn.MultByFXRates1" hidden="1">#REF!,#REF!,#REF!,#REF!,#REF!</definedName>
    <definedName name="hn.MultByFXRates2" localSheetId="9" hidden="1">#REF!,#REF!,#REF!,#REF!,#REF!</definedName>
    <definedName name="hn.MultByFXRates2" localSheetId="69" hidden="1">[3]LTM!$H$461:$H$477,[3]LTM!$H$480:$H$539,[3]LTM!$H$548:$H$667,[3]LTM!$H$676:$H$1266,[3]LTM!$H$1454:$H$1469</definedName>
    <definedName name="hn.MultByFXRates2" localSheetId="67" hidden="1">#REF!,#REF!,#REF!,#REF!,#REF!</definedName>
    <definedName name="hn.MultByFXRates2" localSheetId="4" hidden="1">#REF!,#REF!,#REF!,#REF!,#REF!</definedName>
    <definedName name="hn.MultByFXRates2" localSheetId="63" hidden="1">#REF!,#REF!,#REF!,#REF!,#REF!</definedName>
    <definedName name="hn.MultByFXRates2" hidden="1">#REF!,#REF!,#REF!,#REF!,#REF!</definedName>
    <definedName name="hn.MultByFXRates3" localSheetId="9" hidden="1">#REF!,#REF!,#REF!,#REF!,#REF!</definedName>
    <definedName name="hn.MultByFXRates3" localSheetId="69" hidden="1">[3]LTM!$I$461:$I$477,[3]LTM!$I$480:$I$539,[3]LTM!$I$548:$I$667,[3]LTM!$I$676:$I$1266,[3]LTM!$I$1454:$I$1469</definedName>
    <definedName name="hn.MultByFXRates3" localSheetId="67" hidden="1">#REF!,#REF!,#REF!,#REF!,#REF!</definedName>
    <definedName name="hn.MultByFXRates3" localSheetId="4" hidden="1">#REF!,#REF!,#REF!,#REF!,#REF!</definedName>
    <definedName name="hn.MultByFXRates3" localSheetId="63" hidden="1">#REF!,#REF!,#REF!,#REF!,#REF!</definedName>
    <definedName name="hn.MultByFXRates3" hidden="1">#REF!,#REF!,#REF!,#REF!,#REF!</definedName>
    <definedName name="hn.MultbyFxrates4" localSheetId="9" hidden="1">#REF!,#REF!,#REF!,#REF!,#REF!,#REF!,#REF!</definedName>
    <definedName name="hn.MultbyFxrates4" localSheetId="69" hidden="1">[3]LTM!$J$461:$J$477,[3]LTM!$J$480:$J$539,[3]LTM!$J$548:$J$668,[3]LTM!$J$676:$J$1266,[3]LTM!$J$1454:$J$1461,[3]LTM!$J$1463:$J$1465,[3]LTM!$J$1468</definedName>
    <definedName name="hn.MultbyFxrates4" localSheetId="67" hidden="1">#REF!,#REF!,#REF!,#REF!,#REF!,#REF!,#REF!</definedName>
    <definedName name="hn.MultbyFxrates4" localSheetId="4" hidden="1">#REF!,#REF!,#REF!,#REF!,#REF!,#REF!,#REF!</definedName>
    <definedName name="hn.MultbyFxrates4" localSheetId="63" hidden="1">#REF!,#REF!,#REF!,#REF!,#REF!,#REF!,#REF!</definedName>
    <definedName name="hn.MultbyFxrates4" hidden="1">#REF!,#REF!,#REF!,#REF!,#REF!,#REF!,#REF!</definedName>
    <definedName name="hn.multbyfxrates5" localSheetId="9" hidden="1">#REF!,#REF!,#REF!,#REF!,#REF!</definedName>
    <definedName name="hn.multbyfxrates5" localSheetId="69" hidden="1">[3]LTM!$L$461:$L$477,[3]LTM!$L$480:$L$539,[3]LTM!$L$548:$L$562,[3]LTM!$L$676:$L$840,[3]LTM!$L$1454:$L$1469</definedName>
    <definedName name="hn.multbyfxrates5" localSheetId="67" hidden="1">#REF!,#REF!,#REF!,#REF!,#REF!</definedName>
    <definedName name="hn.multbyfxrates5" localSheetId="4" hidden="1">#REF!,#REF!,#REF!,#REF!,#REF!</definedName>
    <definedName name="hn.multbyfxrates5" localSheetId="63" hidden="1">#REF!,#REF!,#REF!,#REF!,#REF!</definedName>
    <definedName name="hn.multbyfxrates5" hidden="1">#REF!,#REF!,#REF!,#REF!,#REF!</definedName>
    <definedName name="hn.multbyfxrates6" localSheetId="9" hidden="1">#REF!,#REF!,#REF!,#REF!,#REF!</definedName>
    <definedName name="hn.multbyfxrates6" localSheetId="69" hidden="1">[3]LTM!$M$461:$M$477,[3]LTM!$M$480:$M$539,[3]LTM!$M$548:$M$668,[3]LTM!$M$676:$M$1266,[3]LTM!$M$1454:$M$1469</definedName>
    <definedName name="hn.multbyfxrates6" localSheetId="67" hidden="1">#REF!,#REF!,#REF!,#REF!,#REF!</definedName>
    <definedName name="hn.multbyfxrates6" localSheetId="4" hidden="1">#REF!,#REF!,#REF!,#REF!,#REF!</definedName>
    <definedName name="hn.multbyfxrates6" localSheetId="63" hidden="1">#REF!,#REF!,#REF!,#REF!,#REF!</definedName>
    <definedName name="hn.multbyfxrates6" hidden="1">#REF!,#REF!,#REF!,#REF!,#REF!</definedName>
    <definedName name="hn.multbyfxrates7" localSheetId="9" hidden="1">#REF!,#REF!,#REF!,#REF!,#REF!</definedName>
    <definedName name="hn.multbyfxrates7" localSheetId="69" hidden="1">[3]LTM!$N$461:$N$477,[3]LTM!$N$480:$N$539,[3]LTM!$N$548:$N$667,[3]LTM!$N$676:$N$1266,[3]LTM!$N$1454:$N$1469</definedName>
    <definedName name="hn.multbyfxrates7" localSheetId="67" hidden="1">#REF!,#REF!,#REF!,#REF!,#REF!</definedName>
    <definedName name="hn.multbyfxrates7" localSheetId="4" hidden="1">#REF!,#REF!,#REF!,#REF!,#REF!</definedName>
    <definedName name="hn.multbyfxrates7" localSheetId="63" hidden="1">#REF!,#REF!,#REF!,#REF!,#REF!</definedName>
    <definedName name="hn.multbyfxrates7" hidden="1">#REF!,#REF!,#REF!,#REF!,#REF!</definedName>
    <definedName name="hn.MultByFXRatesBot1" localSheetId="9" hidden="1">#REF!,#REF!,#REF!,#REF!,#REF!,#REF!,#REF!,#REF!,#REF!,#REF!,#REF!,#REF!</definedName>
    <definedName name="hn.MultByFXRatesBot1" localSheetId="69" hidden="1">[3]LTM!$G$676:$G$682,[3]LTM!$G$686,[3]LTM!$G$688:$G$694,[3]LTM!$G$699:$G$706,[3]LTM!$G$710:$G$714,[3]LTM!$G$717:$G$734,[3]LTM!$G$738,[3]LTM!$G$738,[3]LTM!$G$745:$G$751,[3]LTM!$G$840,[3]LTM!$G$1454:$G$1461,[3]LTM!$G$1468:$G$1469</definedName>
    <definedName name="hn.MultByFXRatesBot1" localSheetId="67" hidden="1">#REF!,#REF!,#REF!,#REF!,#REF!,#REF!,#REF!,#REF!,#REF!,#REF!,#REF!,#REF!</definedName>
    <definedName name="hn.MultByFXRatesBot1" localSheetId="4" hidden="1">#REF!,#REF!,#REF!,#REF!,#REF!,#REF!,#REF!,#REF!,#REF!,#REF!,#REF!,#REF!</definedName>
    <definedName name="hn.MultByFXRatesBot1" localSheetId="63" hidden="1">#REF!,#REF!,#REF!,#REF!,#REF!,#REF!,#REF!,#REF!,#REF!,#REF!,#REF!,#REF!</definedName>
    <definedName name="hn.MultByFXRatesBot1" hidden="1">#REF!,#REF!,#REF!,#REF!,#REF!,#REF!,#REF!,#REF!,#REF!,#REF!,#REF!,#REF!</definedName>
    <definedName name="hn.MultByFXRatesBot2" localSheetId="9" hidden="1">#REF!,#REF!,#REF!,#REF!,#REF!,#REF!,#REF!,#REF!,#REF!,#REF!,#REF!,#REF!</definedName>
    <definedName name="hn.MultByFXRatesBot2" localSheetId="69" hidden="1">[3]LTM!$H$676:$H$682,[3]LTM!$H$686,[3]LTM!$H$688:$H$694,[3]LTM!$H$699:$H$706,[3]LTM!$H$710:$H$714,[3]LTM!$H$717:$H$734,[3]LTM!$H$738,[3]LTM!$H$745:$H$751,[3]LTM!$H$840,[3]LTM!$H$1266,[3]LTM!$H$1454:$H$1461,[3]LTM!$H$1468:$H$1469</definedName>
    <definedName name="hn.MultByFXRatesBot2" localSheetId="67" hidden="1">#REF!,#REF!,#REF!,#REF!,#REF!,#REF!,#REF!,#REF!,#REF!,#REF!,#REF!,#REF!</definedName>
    <definedName name="hn.MultByFXRatesBot2" localSheetId="4" hidden="1">#REF!,#REF!,#REF!,#REF!,#REF!,#REF!,#REF!,#REF!,#REF!,#REF!,#REF!,#REF!</definedName>
    <definedName name="hn.MultByFXRatesBot2" localSheetId="63" hidden="1">#REF!,#REF!,#REF!,#REF!,#REF!,#REF!,#REF!,#REF!,#REF!,#REF!,#REF!,#REF!</definedName>
    <definedName name="hn.MultByFXRatesBot2" hidden="1">#REF!,#REF!,#REF!,#REF!,#REF!,#REF!,#REF!,#REF!,#REF!,#REF!,#REF!,#REF!</definedName>
    <definedName name="hn.MultByFXRatesBot3" localSheetId="9" hidden="1">#REF!,#REF!,#REF!,#REF!,#REF!,#REF!,#REF!,#REF!,#REF!,#REF!,#REF!,#REF!</definedName>
    <definedName name="hn.MultByFXRatesBot3" localSheetId="69" hidden="1">[3]LTM!$I$676:$I$682,[3]LTM!$I$686,[3]LTM!$I$688:$I$694,[3]LTM!$I$699:$I$706,[3]LTM!$I$710:$I$714,[3]LTM!$I$717:$I$734,[3]LTM!$I$738,[3]LTM!$I$745:$I$751,[3]LTM!$I$840,[3]LTM!$I$1266,[3]LTM!$I$1454:$I$1461,[3]LTM!$I$1468:$I$1469</definedName>
    <definedName name="hn.MultByFXRatesBot3" localSheetId="67" hidden="1">#REF!,#REF!,#REF!,#REF!,#REF!,#REF!,#REF!,#REF!,#REF!,#REF!,#REF!,#REF!</definedName>
    <definedName name="hn.MultByFXRatesBot3" localSheetId="4" hidden="1">#REF!,#REF!,#REF!,#REF!,#REF!,#REF!,#REF!,#REF!,#REF!,#REF!,#REF!,#REF!</definedName>
    <definedName name="hn.MultByFXRatesBot3" localSheetId="63" hidden="1">#REF!,#REF!,#REF!,#REF!,#REF!,#REF!,#REF!,#REF!,#REF!,#REF!,#REF!,#REF!</definedName>
    <definedName name="hn.MultByFXRatesBot3" hidden="1">#REF!,#REF!,#REF!,#REF!,#REF!,#REF!,#REF!,#REF!,#REF!,#REF!,#REF!,#REF!</definedName>
    <definedName name="hn.MultByFXRatesBot4" localSheetId="9" hidden="1">#REF!,#REF!,#REF!,#REF!,#REF!,#REF!,#REF!,#REF!,#REF!,#REF!,#REF!,#REF!,#REF!</definedName>
    <definedName name="hn.MultByFXRatesBot4" localSheetId="69" hidden="1">[3]LTM!$J$676:$J$682,[3]LTM!$J$686,[3]LTM!$J$688:$J$694,[3]LTM!$J$699:$J$706,[3]LTM!$J$710:$J$714,[3]LTM!$J$717:$J$734,[3]LTM!$J$738,[3]LTM!$J$745:$J$751,[3]LTM!$J$840,[3]LTM!$J$1266,[3]LTM!$J$1454:$J$1461,[3]LTM!$J$1463:$J$1465,[3]LTM!$J$1468</definedName>
    <definedName name="hn.MultByFXRatesBot4" localSheetId="67" hidden="1">#REF!,#REF!,#REF!,#REF!,#REF!,#REF!,#REF!,#REF!,#REF!,#REF!,#REF!,#REF!,#REF!</definedName>
    <definedName name="hn.MultByFXRatesBot4" localSheetId="4" hidden="1">#REF!,#REF!,#REF!,#REF!,#REF!,#REF!,#REF!,#REF!,#REF!,#REF!,#REF!,#REF!,#REF!</definedName>
    <definedName name="hn.MultByFXRatesBot4" localSheetId="63" hidden="1">#REF!,#REF!,#REF!,#REF!,#REF!,#REF!,#REF!,#REF!,#REF!,#REF!,#REF!,#REF!,#REF!</definedName>
    <definedName name="hn.MultByFXRatesBot4" hidden="1">#REF!,#REF!,#REF!,#REF!,#REF!,#REF!,#REF!,#REF!,#REF!,#REF!,#REF!,#REF!,#REF!</definedName>
    <definedName name="hn.MultByFXRatesBot5" localSheetId="9" hidden="1">#REF!,#REF!,#REF!,#REF!,#REF!,#REF!,#REF!,#REF!,#REF!,#REF!,#REF!</definedName>
    <definedName name="hn.MultByFXRatesBot5" localSheetId="69" hidden="1">[3]LTM!$L$676:$L$682,[3]LTM!$L$686,[3]LTM!$L$688:$L$694,[3]LTM!$L$699:$L$706,[3]LTM!$L$710:$L$714,[3]LTM!$L$717:$L$734,[3]LTM!$L$738,[3]LTM!$L$745:$L$751,[3]LTM!$L$837:$L$838,[3]LTM!$L$1454:$L$1458,[3]LTM!$L$1468:$L$1469</definedName>
    <definedName name="hn.MultByFXRatesBot5" localSheetId="67" hidden="1">#REF!,#REF!,#REF!,#REF!,#REF!,#REF!,#REF!,#REF!,#REF!,#REF!,#REF!</definedName>
    <definedName name="hn.MultByFXRatesBot5" localSheetId="4" hidden="1">#REF!,#REF!,#REF!,#REF!,#REF!,#REF!,#REF!,#REF!,#REF!,#REF!,#REF!</definedName>
    <definedName name="hn.MultByFXRatesBot5" localSheetId="63" hidden="1">#REF!,#REF!,#REF!,#REF!,#REF!,#REF!,#REF!,#REF!,#REF!,#REF!,#REF!</definedName>
    <definedName name="hn.MultByFXRatesBot5" hidden="1">#REF!,#REF!,#REF!,#REF!,#REF!,#REF!,#REF!,#REF!,#REF!,#REF!,#REF!</definedName>
    <definedName name="hn.MultByFXRatesBot6" localSheetId="9" hidden="1">#REF!,#REF!,#REF!,#REF!,#REF!,#REF!,#REF!,#REF!,#REF!,#REF!,#REF!</definedName>
    <definedName name="hn.MultByFXRatesBot6" localSheetId="69" hidden="1">[3]LTM!$M$676:$M$682,[3]LTM!$M$686,[3]LTM!$M$688:$M$694,[3]LTM!$M$699:$M$706,[3]LTM!$M$710:$M$714,[3]LTM!$M$717:$M$734,[3]LTM!$M$738,[3]LTM!$M$745:$M$751,[3]LTM!$M$837:$M$838,[3]LTM!$M$1454:$M$1458,[3]LTM!$M$1468:$M$1469</definedName>
    <definedName name="hn.MultByFXRatesBot6" localSheetId="67" hidden="1">#REF!,#REF!,#REF!,#REF!,#REF!,#REF!,#REF!,#REF!,#REF!,#REF!,#REF!</definedName>
    <definedName name="hn.MultByFXRatesBot6" localSheetId="4" hidden="1">#REF!,#REF!,#REF!,#REF!,#REF!,#REF!,#REF!,#REF!,#REF!,#REF!,#REF!</definedName>
    <definedName name="hn.MultByFXRatesBot6" localSheetId="63" hidden="1">#REF!,#REF!,#REF!,#REF!,#REF!,#REF!,#REF!,#REF!,#REF!,#REF!,#REF!</definedName>
    <definedName name="hn.MultByFXRatesBot6" hidden="1">#REF!,#REF!,#REF!,#REF!,#REF!,#REF!,#REF!,#REF!,#REF!,#REF!,#REF!</definedName>
    <definedName name="hn.MultByFXRatesBot7" localSheetId="9" hidden="1">#REF!,#REF!,#REF!,#REF!,#REF!,#REF!,#REF!,#REF!,#REF!,#REF!,#REF!</definedName>
    <definedName name="hn.MultByFXRatesBot7" localSheetId="69" hidden="1">[3]LTM!$N$676:$N$682,[3]LTM!$N$686,[3]LTM!$N$688:$N$694,[3]LTM!$N$699:$N$706,[3]LTM!$N$710:$N$714,[3]LTM!$N$717:$N$734,[3]LTM!$N$738,[3]LTM!$N$745:$N$751,[3]LTM!$N$837:$N$838,[3]LTM!$N$1454:$N$1458,[3]LTM!$N$1468:$N$1469</definedName>
    <definedName name="hn.MultByFXRatesBot7" localSheetId="67" hidden="1">#REF!,#REF!,#REF!,#REF!,#REF!,#REF!,#REF!,#REF!,#REF!,#REF!,#REF!</definedName>
    <definedName name="hn.MultByFXRatesBot7" localSheetId="4" hidden="1">#REF!,#REF!,#REF!,#REF!,#REF!,#REF!,#REF!,#REF!,#REF!,#REF!,#REF!</definedName>
    <definedName name="hn.MultByFXRatesBot7" localSheetId="63" hidden="1">#REF!,#REF!,#REF!,#REF!,#REF!,#REF!,#REF!,#REF!,#REF!,#REF!,#REF!</definedName>
    <definedName name="hn.MultByFXRatesBot7" hidden="1">#REF!,#REF!,#REF!,#REF!,#REF!,#REF!,#REF!,#REF!,#REF!,#REF!,#REF!</definedName>
    <definedName name="hn.MultByFXRatesTop1" localSheetId="9" hidden="1">#REF!,#REF!,#REF!,#REF!,#REF!,#REF!,#REF!,#REF!,#REF!,#REF!,#REF!,#REF!</definedName>
    <definedName name="hn.MultByFXRatesTop1" localSheetId="69" hidden="1">[3]LTM!$G$461,[3]LTM!$G$463:$G$464,[3]LTM!$G$468:$G$469,[3]LTM!$G$473:$G$475,[3]LTM!$G$480,[3]LTM!$G$484:$G$485,[3]LTM!$G$490:$G$509,[3]LTM!$G$512,[3]LTM!$G$514:$G$518,[3]LTM!$G$525:$G$526,[3]LTM!$G$532:$G$537,[3]LTM!$G$560</definedName>
    <definedName name="hn.MultByFXRatesTop1" localSheetId="67" hidden="1">#REF!,#REF!,#REF!,#REF!,#REF!,#REF!,#REF!,#REF!,#REF!,#REF!,#REF!,#REF!</definedName>
    <definedName name="hn.MultByFXRatesTop1" localSheetId="4" hidden="1">#REF!,#REF!,#REF!,#REF!,#REF!,#REF!,#REF!,#REF!,#REF!,#REF!,#REF!,#REF!</definedName>
    <definedName name="hn.MultByFXRatesTop1" localSheetId="63" hidden="1">#REF!,#REF!,#REF!,#REF!,#REF!,#REF!,#REF!,#REF!,#REF!,#REF!,#REF!,#REF!</definedName>
    <definedName name="hn.MultByFXRatesTop1" hidden="1">#REF!,#REF!,#REF!,#REF!,#REF!,#REF!,#REF!,#REF!,#REF!,#REF!,#REF!,#REF!</definedName>
    <definedName name="hn.MultByFXRatesTop2" localSheetId="9" hidden="1">#REF!,#REF!,#REF!,#REF!,#REF!,#REF!,#REF!,#REF!,#REF!,#REF!,#REF!,#REF!,#REF!,#REF!,#REF!</definedName>
    <definedName name="hn.MultByFXRatesTop2" localSheetId="69" hidden="1">[3]LTM!$H$461,[3]LTM!$H$463:$H$464,[3]LTM!$H$468:$H$469,[3]LTM!$H$473:$H$475,[3]LTM!$H$480,[3]LTM!$H$484:$H$485,[3]LTM!$H$490:$H$509,[3]LTM!$H$512,[3]LTM!$H$514:$H$518,[3]LTM!$H$525:$H$526,[3]LTM!$H$532:$H$537,[3]LTM!$H$560,[3]LTM!$H$590:$H$591,[3]LTM!$H$614:$H$631,[3]LTM!$H$635:$H$636</definedName>
    <definedName name="hn.MultByFXRatesTop2" localSheetId="67" hidden="1">#REF!,#REF!,#REF!,#REF!,#REF!,#REF!,#REF!,#REF!,#REF!,#REF!,#REF!,#REF!,#REF!,#REF!,#REF!</definedName>
    <definedName name="hn.MultByFXRatesTop2" localSheetId="4" hidden="1">#REF!,#REF!,#REF!,#REF!,#REF!,#REF!,#REF!,#REF!,#REF!,#REF!,#REF!,#REF!,#REF!,#REF!,#REF!</definedName>
    <definedName name="hn.MultByFXRatesTop2" localSheetId="63" hidden="1">#REF!,#REF!,#REF!,#REF!,#REF!,#REF!,#REF!,#REF!,#REF!,#REF!,#REF!,#REF!,#REF!,#REF!,#REF!</definedName>
    <definedName name="hn.MultByFXRatesTop2" hidden="1">#REF!,#REF!,#REF!,#REF!,#REF!,#REF!,#REF!,#REF!,#REF!,#REF!,#REF!,#REF!,#REF!,#REF!,#REF!</definedName>
    <definedName name="hn.MultByFXRatesTop3" localSheetId="9" hidden="1">#REF!,#REF!,#REF!,#REF!,#REF!,#REF!,#REF!,#REF!,#REF!,#REF!,#REF!,#REF!,#REF!,#REF!,#REF!</definedName>
    <definedName name="hn.MultByFXRatesTop3" localSheetId="69" hidden="1">[3]LTM!$I$461,[3]LTM!$I$463:$I$464,[3]LTM!$I$468:$I$469,[3]LTM!$I$473:$I$475,[3]LTM!$I$480,[3]LTM!$I$484:$I$485,[3]LTM!$I$490:$I$509,[3]LTM!$I$512,[3]LTM!$I$514:$I$518,[3]LTM!$I$525:$I$526,[3]LTM!$I$532:$I$537,[3]LTM!$I$560,[3]LTM!$I$590:$I$591,[3]LTM!$I$614:$I$631,[3]LTM!$I$635:$I$636</definedName>
    <definedName name="hn.MultByFXRatesTop3" localSheetId="67" hidden="1">#REF!,#REF!,#REF!,#REF!,#REF!,#REF!,#REF!,#REF!,#REF!,#REF!,#REF!,#REF!,#REF!,#REF!,#REF!</definedName>
    <definedName name="hn.MultByFXRatesTop3" localSheetId="4" hidden="1">#REF!,#REF!,#REF!,#REF!,#REF!,#REF!,#REF!,#REF!,#REF!,#REF!,#REF!,#REF!,#REF!,#REF!,#REF!</definedName>
    <definedName name="hn.MultByFXRatesTop3" localSheetId="63" hidden="1">#REF!,#REF!,#REF!,#REF!,#REF!,#REF!,#REF!,#REF!,#REF!,#REF!,#REF!,#REF!,#REF!,#REF!,#REF!</definedName>
    <definedName name="hn.MultByFXRatesTop3" hidden="1">#REF!,#REF!,#REF!,#REF!,#REF!,#REF!,#REF!,#REF!,#REF!,#REF!,#REF!,#REF!,#REF!,#REF!,#REF!</definedName>
    <definedName name="hn.MultByFXRatesTop4" localSheetId="9" hidden="1">#REF!,#REF!,#REF!,#REF!,#REF!,#REF!,#REF!,#REF!,#REF!,#REF!,#REF!,#REF!,#REF!,#REF!,#REF!</definedName>
    <definedName name="hn.MultByFXRatesTop4" localSheetId="69" hidden="1">[3]LTM!$J$461,[3]LTM!$J$463:$J$464,[3]LTM!$J$468:$J$469,[3]LTM!$J$473:$J$475,[3]LTM!$J$480,[3]LTM!$J$484:$J$485,[3]LTM!$J$490:$J$509,[3]LTM!$J$512,[3]LTM!$J$514:$J$518,[3]LTM!$J$525:$J$526,[3]LTM!$J$532:$J$537,[3]LTM!$J$560,[3]LTM!$J$590:$J$591,[3]LTM!$J$614:$J$631,[3]LTM!$J$635:$J$636</definedName>
    <definedName name="hn.MultByFXRatesTop4" localSheetId="67" hidden="1">#REF!,#REF!,#REF!,#REF!,#REF!,#REF!,#REF!,#REF!,#REF!,#REF!,#REF!,#REF!,#REF!,#REF!,#REF!</definedName>
    <definedName name="hn.MultByFXRatesTop4" localSheetId="4" hidden="1">#REF!,#REF!,#REF!,#REF!,#REF!,#REF!,#REF!,#REF!,#REF!,#REF!,#REF!,#REF!,#REF!,#REF!,#REF!</definedName>
    <definedName name="hn.MultByFXRatesTop4" localSheetId="63" hidden="1">#REF!,#REF!,#REF!,#REF!,#REF!,#REF!,#REF!,#REF!,#REF!,#REF!,#REF!,#REF!,#REF!,#REF!,#REF!</definedName>
    <definedName name="hn.MultByFXRatesTop4" hidden="1">#REF!,#REF!,#REF!,#REF!,#REF!,#REF!,#REF!,#REF!,#REF!,#REF!,#REF!,#REF!,#REF!,#REF!,#REF!</definedName>
    <definedName name="hn.MultByFXRatesTop5" localSheetId="9" hidden="1">#REF!,#REF!,#REF!,#REF!,#REF!,#REF!,#REF!,#REF!,#REF!,#REF!,#REF!,#REF!</definedName>
    <definedName name="hn.MultByFXRatesTop5" localSheetId="69" hidden="1">[3]LTM!$L$461,[3]LTM!$L$463:$L$464,[3]LTM!$L$468:$L$469,[3]LTM!$L$473:$L$475,[3]LTM!$L$480,[3]LTM!$L$484:$L$485,[3]LTM!$L$490:$L$509,[3]LTM!$L$512,[3]LTM!$L$514:$L$518,[3]LTM!$L$525:$L$526,[3]LTM!$L$532:$L$537,[3]LTM!$L$560</definedName>
    <definedName name="hn.MultByFXRatesTop5" localSheetId="67" hidden="1">#REF!,#REF!,#REF!,#REF!,#REF!,#REF!,#REF!,#REF!,#REF!,#REF!,#REF!,#REF!</definedName>
    <definedName name="hn.MultByFXRatesTop5" localSheetId="4" hidden="1">#REF!,#REF!,#REF!,#REF!,#REF!,#REF!,#REF!,#REF!,#REF!,#REF!,#REF!,#REF!</definedName>
    <definedName name="hn.MultByFXRatesTop5" localSheetId="63" hidden="1">#REF!,#REF!,#REF!,#REF!,#REF!,#REF!,#REF!,#REF!,#REF!,#REF!,#REF!,#REF!</definedName>
    <definedName name="hn.MultByFXRatesTop5" hidden="1">#REF!,#REF!,#REF!,#REF!,#REF!,#REF!,#REF!,#REF!,#REF!,#REF!,#REF!,#REF!</definedName>
    <definedName name="hn.MultByFXRatesTop6" localSheetId="9" hidden="1">#REF!,#REF!,#REF!,#REF!,#REF!,#REF!,#REF!,#REF!,#REF!,#REF!,#REF!,#REF!,#REF!,#REF!,#REF!</definedName>
    <definedName name="hn.MultByFXRatesTop6" localSheetId="69" hidden="1">[3]LTM!$M$461,[3]LTM!$M$463:$M$464,[3]LTM!$M$468:$M$469,[3]LTM!$M$473:$M$475,[3]LTM!$M$480,[3]LTM!$M$484:$M$485,[3]LTM!$M$490:$M$509,[3]LTM!$M$512,[3]LTM!$M$514:$M$518,[3]LTM!$M$525:$M$526,[3]LTM!$M$532:$M$537,[3]LTM!$M$560,[3]LTM!$M$590:$M$591,[3]LTM!$M$614:$M$631,[3]LTM!$M$635:$M$636</definedName>
    <definedName name="hn.MultByFXRatesTop6" localSheetId="67" hidden="1">#REF!,#REF!,#REF!,#REF!,#REF!,#REF!,#REF!,#REF!,#REF!,#REF!,#REF!,#REF!,#REF!,#REF!,#REF!</definedName>
    <definedName name="hn.MultByFXRatesTop6" localSheetId="4" hidden="1">#REF!,#REF!,#REF!,#REF!,#REF!,#REF!,#REF!,#REF!,#REF!,#REF!,#REF!,#REF!,#REF!,#REF!,#REF!</definedName>
    <definedName name="hn.MultByFXRatesTop6" localSheetId="63" hidden="1">#REF!,#REF!,#REF!,#REF!,#REF!,#REF!,#REF!,#REF!,#REF!,#REF!,#REF!,#REF!,#REF!,#REF!,#REF!</definedName>
    <definedName name="hn.MultByFXRatesTop6" hidden="1">#REF!,#REF!,#REF!,#REF!,#REF!,#REF!,#REF!,#REF!,#REF!,#REF!,#REF!,#REF!,#REF!,#REF!,#REF!</definedName>
    <definedName name="hn.MultByFXRatesTop7" localSheetId="9" hidden="1">#REF!,#REF!,#REF!,#REF!,#REF!,#REF!,#REF!,#REF!,#REF!,#REF!,#REF!,#REF!,#REF!,#REF!,#REF!</definedName>
    <definedName name="hn.MultByFXRatesTop7" localSheetId="69" hidden="1">[3]LTM!$N$461,[3]LTM!$N$463:$N$464,[3]LTM!$N$468:$N$469,[3]LTM!$N$473:$N$475,[3]LTM!$N$480,[3]LTM!$N$484:$N$485,[3]LTM!$N$490:$N$509,[3]LTM!$N$512,[3]LTM!$N$514:$N$518,[3]LTM!$N$525:$N$526,[3]LTM!$N$532:$N$537,[3]LTM!$N$560,[3]LTM!$N$590:$N$591,[3]LTM!$N$614:$N$631,[3]LTM!$N$635:$N$636</definedName>
    <definedName name="hn.MultByFXRatesTop7" localSheetId="67" hidden="1">#REF!,#REF!,#REF!,#REF!,#REF!,#REF!,#REF!,#REF!,#REF!,#REF!,#REF!,#REF!,#REF!,#REF!,#REF!</definedName>
    <definedName name="hn.MultByFXRatesTop7" localSheetId="4" hidden="1">#REF!,#REF!,#REF!,#REF!,#REF!,#REF!,#REF!,#REF!,#REF!,#REF!,#REF!,#REF!,#REF!,#REF!,#REF!</definedName>
    <definedName name="hn.MultByFXRatesTop7" localSheetId="63" hidden="1">#REF!,#REF!,#REF!,#REF!,#REF!,#REF!,#REF!,#REF!,#REF!,#REF!,#REF!,#REF!,#REF!,#REF!,#REF!</definedName>
    <definedName name="hn.MultByFXRatesTop7" hidden="1">#REF!,#REF!,#REF!,#REF!,#REF!,#REF!,#REF!,#REF!,#REF!,#REF!,#REF!,#REF!,#REF!,#REF!,#REF!</definedName>
    <definedName name="hn.NoUpload" hidden="1">0</definedName>
    <definedName name="hn.YearLabel" localSheetId="9" hidden="1">#REF!</definedName>
    <definedName name="hn.YearLabel" localSheetId="69" hidden="1">#REF!</definedName>
    <definedName name="hn.YearLabel" localSheetId="67" hidden="1">#REF!</definedName>
    <definedName name="hn.YearLabel" localSheetId="4" hidden="1">#REF!</definedName>
    <definedName name="hn.YearLabel" localSheetId="63" hidden="1">#REF!</definedName>
    <definedName name="hn.YearLabel" hidden="1">#REF!</definedName>
    <definedName name="Incomepb" localSheetId="9" hidden="1">#REF!</definedName>
    <definedName name="Incomepb" localSheetId="69" hidden="1">#REF!</definedName>
    <definedName name="Incomepb" localSheetId="67" hidden="1">#REF!</definedName>
    <definedName name="Incomepb" localSheetId="4" hidden="1">#REF!</definedName>
    <definedName name="Incomepb" localSheetId="63" hidden="1">#REF!</definedName>
    <definedName name="Incomepb" hidden="1">#REF!</definedName>
    <definedName name="ins">[4]Resumen!$G$37</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LTMColHidden" hidden="1">FALSE</definedName>
    <definedName name="IsSecureRevolver" localSheetId="9" hidden="1">#REF!</definedName>
    <definedName name="IsSecureRevolver" localSheetId="69" hidden="1">#REF!</definedName>
    <definedName name="IsSecureRevolver" localSheetId="67" hidden="1">#REF!</definedName>
    <definedName name="IsSecureRevolver" localSheetId="4" hidden="1">#REF!</definedName>
    <definedName name="IsSecureRevolver" localSheetId="63" hidden="1">#REF!</definedName>
    <definedName name="IsSecureRevolver" hidden="1">#REF!</definedName>
    <definedName name="IsSecureSenior1" localSheetId="9" hidden="1">#REF!</definedName>
    <definedName name="IsSecureSenior1" localSheetId="69" hidden="1">#REF!</definedName>
    <definedName name="IsSecureSenior1" localSheetId="67" hidden="1">#REF!</definedName>
    <definedName name="IsSecureSenior1" localSheetId="4" hidden="1">#REF!</definedName>
    <definedName name="IsSecureSenior1" localSheetId="63" hidden="1">#REF!</definedName>
    <definedName name="IsSecureSenior1" hidden="1">#REF!</definedName>
    <definedName name="IsSecureSenior2" localSheetId="9" hidden="1">#REF!</definedName>
    <definedName name="IsSecureSenior2" localSheetId="69" hidden="1">#REF!</definedName>
    <definedName name="IsSecureSenior2" localSheetId="67" hidden="1">#REF!</definedName>
    <definedName name="IsSecureSenior2" localSheetId="4" hidden="1">#REF!</definedName>
    <definedName name="IsSecureSenior2" localSheetId="63" hidden="1">#REF!</definedName>
    <definedName name="IsSecureSenior2" hidden="1">#REF!</definedName>
    <definedName name="IsSecureSenior3" localSheetId="9" hidden="1">#REF!</definedName>
    <definedName name="IsSecureSenior3" localSheetId="69" hidden="1">#REF!</definedName>
    <definedName name="IsSecureSenior3" localSheetId="67" hidden="1">#REF!</definedName>
    <definedName name="IsSecureSenior3" localSheetId="4" hidden="1">#REF!</definedName>
    <definedName name="IsSecureSenior3" localSheetId="63" hidden="1">#REF!</definedName>
    <definedName name="IsSecureSenior3" hidden="1">#REF!</definedName>
    <definedName name="IsSecureSenior4" localSheetId="9" hidden="1">#REF!</definedName>
    <definedName name="IsSecureSenior4" localSheetId="69" hidden="1">#REF!</definedName>
    <definedName name="IsSecureSenior4" localSheetId="67" hidden="1">#REF!</definedName>
    <definedName name="IsSecureSenior4" localSheetId="4" hidden="1">#REF!</definedName>
    <definedName name="IsSecureSenior4" localSheetId="63" hidden="1">#REF!</definedName>
    <definedName name="IsSecureSenior4" hidden="1">#REF!</definedName>
    <definedName name="IsSecureSenior5" localSheetId="9" hidden="1">#REF!</definedName>
    <definedName name="IsSecureSenior5" localSheetId="69" hidden="1">#REF!</definedName>
    <definedName name="IsSecureSenior5" localSheetId="67" hidden="1">#REF!</definedName>
    <definedName name="IsSecureSenior5" localSheetId="4" hidden="1">#REF!</definedName>
    <definedName name="IsSecureSenior5" localSheetId="63" hidden="1">#REF!</definedName>
    <definedName name="IsSecureSenior5" hidden="1">#REF!</definedName>
    <definedName name="IsSecureSenior6" localSheetId="9" hidden="1">#REF!</definedName>
    <definedName name="IsSecureSenior6" localSheetId="69" hidden="1">#REF!</definedName>
    <definedName name="IsSecureSenior6" localSheetId="67" hidden="1">#REF!</definedName>
    <definedName name="IsSecureSenior6" localSheetId="4" hidden="1">#REF!</definedName>
    <definedName name="IsSecureSenior6" localSheetId="63" hidden="1">#REF!</definedName>
    <definedName name="IsSecureSenior6" hidden="1">#REF!</definedName>
    <definedName name="IsSecureSenior7" localSheetId="9" hidden="1">#REF!</definedName>
    <definedName name="IsSecureSenior7" localSheetId="69" hidden="1">#REF!</definedName>
    <definedName name="IsSecureSenior7" localSheetId="67" hidden="1">#REF!</definedName>
    <definedName name="IsSecureSenior7" localSheetId="4" hidden="1">#REF!</definedName>
    <definedName name="IsSecureSenior7" localSheetId="63" hidden="1">#REF!</definedName>
    <definedName name="IsSecureSenior7" hidden="1">#REF!</definedName>
    <definedName name="jklj" localSheetId="9" hidden="1">#REF!</definedName>
    <definedName name="jklj" localSheetId="69" hidden="1">#REF!</definedName>
    <definedName name="jklj" localSheetId="67" hidden="1">#REF!</definedName>
    <definedName name="jklj" localSheetId="4" hidden="1">#REF!</definedName>
    <definedName name="jklj" localSheetId="63" hidden="1">#REF!</definedName>
    <definedName name="jklj" hidden="1">#REF!</definedName>
    <definedName name="KO" localSheetId="9" hidden="1">#REF!</definedName>
    <definedName name="KO" localSheetId="69" hidden="1">#REF!</definedName>
    <definedName name="KO" localSheetId="67" hidden="1">#REF!</definedName>
    <definedName name="KO" localSheetId="4" hidden="1">#REF!</definedName>
    <definedName name="KO" localSheetId="63" hidden="1">#REF!</definedName>
    <definedName name="KO" hidden="1">#REF!</definedName>
    <definedName name="Left_Header" localSheetId="9" hidden="1">#REF!</definedName>
    <definedName name="Left_Header" localSheetId="69" hidden="1">#REF!</definedName>
    <definedName name="Left_Header" localSheetId="67" hidden="1">#REF!</definedName>
    <definedName name="Left_Header" localSheetId="4" hidden="1">#REF!</definedName>
    <definedName name="Left_Header" localSheetId="63" hidden="1">#REF!</definedName>
    <definedName name="Left_Header" hidden="1">#REF!</definedName>
    <definedName name="limcount" hidden="1">1</definedName>
    <definedName name="mama" localSheetId="9" hidden="1">#REF!</definedName>
    <definedName name="mama" localSheetId="69" hidden="1">'[5]Datos-Gráfica-Apartada'!#REF!</definedName>
    <definedName name="mama" localSheetId="67" hidden="1">#REF!</definedName>
    <definedName name="mama" localSheetId="4" hidden="1">#REF!</definedName>
    <definedName name="mama" localSheetId="63" hidden="1">#REF!</definedName>
    <definedName name="mama" hidden="1">#REF!</definedName>
    <definedName name="OBS_Data_Col" localSheetId="9" hidden="1">#REF!</definedName>
    <definedName name="OBS_Data_Col" localSheetId="69" hidden="1">#REF!</definedName>
    <definedName name="OBS_Data_Col" localSheetId="67" hidden="1">#REF!</definedName>
    <definedName name="OBS_Data_Col" localSheetId="4" hidden="1">#REF!</definedName>
    <definedName name="OBS_Data_Col" localSheetId="63" hidden="1">#REF!</definedName>
    <definedName name="OBS_Data_Col" hidden="1">#REF!</definedName>
    <definedName name="Openingpb" localSheetId="9" hidden="1">#REF!</definedName>
    <definedName name="Openingpb" localSheetId="69" hidden="1">#REF!</definedName>
    <definedName name="Openingpb" localSheetId="67" hidden="1">#REF!</definedName>
    <definedName name="Openingpb" localSheetId="4" hidden="1">#REF!</definedName>
    <definedName name="Openingpb" localSheetId="63" hidden="1">#REF!</definedName>
    <definedName name="Openingpb" hidden="1">#REF!</definedName>
    <definedName name="OWNER" localSheetId="9" hidden="1">#REF!</definedName>
    <definedName name="OWNER" localSheetId="69" hidden="1">#REF!</definedName>
    <definedName name="OWNER" localSheetId="67" hidden="1">#REF!</definedName>
    <definedName name="OWNER" localSheetId="4" hidden="1">#REF!</definedName>
    <definedName name="OWNER" localSheetId="63" hidden="1">#REF!</definedName>
    <definedName name="OWNER" hidden="1">#REF!</definedName>
    <definedName name="p.BS" localSheetId="9" hidden="1">#REF!</definedName>
    <definedName name="p.BS" localSheetId="69" hidden="1">#REF!</definedName>
    <definedName name="p.BS" localSheetId="67" hidden="1">#REF!</definedName>
    <definedName name="p.BS" localSheetId="4" hidden="1">#REF!</definedName>
    <definedName name="p.BS" localSheetId="63" hidden="1">#REF!</definedName>
    <definedName name="p.BS" hidden="1">#REF!</definedName>
    <definedName name="p.BSAssumptions" localSheetId="9" hidden="1">#REF!</definedName>
    <definedName name="p.BSAssumptions" localSheetId="69" hidden="1">#REF!</definedName>
    <definedName name="p.BSAssumptions" localSheetId="67" hidden="1">#REF!</definedName>
    <definedName name="p.BSAssumptions" localSheetId="4" hidden="1">#REF!</definedName>
    <definedName name="p.BSAssumptions" localSheetId="63" hidden="1">#REF!</definedName>
    <definedName name="p.BSAssumptions" hidden="1">#REF!</definedName>
    <definedName name="p.CapStructure" localSheetId="9" hidden="1">#REF!</definedName>
    <definedName name="p.CapStructure" localSheetId="69" hidden="1">#REF!</definedName>
    <definedName name="p.CapStructure" localSheetId="67" hidden="1">#REF!</definedName>
    <definedName name="p.CapStructure" localSheetId="4" hidden="1">#REF!</definedName>
    <definedName name="p.CapStructure" localSheetId="63" hidden="1">#REF!</definedName>
    <definedName name="p.CapStructure" hidden="1">#REF!</definedName>
    <definedName name="p.CashFlow" localSheetId="9" hidden="1">#REF!</definedName>
    <definedName name="p.CashFlow" localSheetId="69" hidden="1">#REF!</definedName>
    <definedName name="p.CashFlow" localSheetId="67" hidden="1">#REF!</definedName>
    <definedName name="p.CashFlow" localSheetId="4" hidden="1">#REF!</definedName>
    <definedName name="p.CashFlow" localSheetId="63" hidden="1">#REF!</definedName>
    <definedName name="p.CashFlow" hidden="1">#REF!</definedName>
    <definedName name="p.Cover" localSheetId="9" hidden="1">#REF!</definedName>
    <definedName name="p.Cover" localSheetId="69" hidden="1">#REF!</definedName>
    <definedName name="p.Cover" localSheetId="67" hidden="1">#REF!</definedName>
    <definedName name="p.Cover" localSheetId="4" hidden="1">#REF!</definedName>
    <definedName name="p.Cover" localSheetId="63" hidden="1">#REF!</definedName>
    <definedName name="p.Cover" hidden="1">#REF!</definedName>
    <definedName name="p.Depreciation" localSheetId="9" hidden="1">#REF!</definedName>
    <definedName name="p.Depreciation" localSheetId="69" hidden="1">#REF!</definedName>
    <definedName name="p.Depreciation" localSheetId="67" hidden="1">#REF!</definedName>
    <definedName name="p.Depreciation" localSheetId="4" hidden="1">#REF!</definedName>
    <definedName name="p.Depreciation" localSheetId="63" hidden="1">#REF!</definedName>
    <definedName name="p.Depreciation" hidden="1">#REF!</definedName>
    <definedName name="p.Executive" localSheetId="9" hidden="1">#REF!</definedName>
    <definedName name="p.Executive" localSheetId="69" hidden="1">#REF!</definedName>
    <definedName name="p.Executive" localSheetId="67" hidden="1">#REF!</definedName>
    <definedName name="p.Executive" localSheetId="4" hidden="1">#REF!</definedName>
    <definedName name="p.Executive" localSheetId="63" hidden="1">#REF!</definedName>
    <definedName name="p.Executive" hidden="1">#REF!</definedName>
    <definedName name="p.FactSheet" localSheetId="9" hidden="1">#REF!</definedName>
    <definedName name="p.FactSheet" localSheetId="69" hidden="1">#REF!</definedName>
    <definedName name="p.FactSheet" localSheetId="67" hidden="1">#REF!</definedName>
    <definedName name="p.FactSheet" localSheetId="4" hidden="1">#REF!</definedName>
    <definedName name="p.FactSheet" localSheetId="63" hidden="1">#REF!</definedName>
    <definedName name="p.FactSheet" hidden="1">#REF!</definedName>
    <definedName name="p.IS" localSheetId="9" hidden="1">#REF!</definedName>
    <definedName name="p.IS" localSheetId="69" hidden="1">#REF!</definedName>
    <definedName name="p.IS" localSheetId="67" hidden="1">#REF!</definedName>
    <definedName name="p.IS" localSheetId="4" hidden="1">#REF!</definedName>
    <definedName name="p.IS" localSheetId="63" hidden="1">#REF!</definedName>
    <definedName name="p.IS" hidden="1">#REF!</definedName>
    <definedName name="p.ISAssumptions" localSheetId="9" hidden="1">#REF!</definedName>
    <definedName name="p.ISAssumptions" localSheetId="69" hidden="1">#REF!</definedName>
    <definedName name="p.ISAssumptions" localSheetId="67" hidden="1">#REF!</definedName>
    <definedName name="p.ISAssumptions" localSheetId="4" hidden="1">#REF!</definedName>
    <definedName name="p.ISAssumptions" localSheetId="63" hidden="1">#REF!</definedName>
    <definedName name="p.ISAssumptions" hidden="1">#REF!</definedName>
    <definedName name="p.OpeningBS" localSheetId="9" hidden="1">#REF!</definedName>
    <definedName name="p.OpeningBS" localSheetId="69" hidden="1">#REF!</definedName>
    <definedName name="p.OpeningBS" localSheetId="67" hidden="1">#REF!</definedName>
    <definedName name="p.OpeningBS" localSheetId="4" hidden="1">#REF!</definedName>
    <definedName name="p.OpeningBS" localSheetId="63" hidden="1">#REF!</definedName>
    <definedName name="p.OpeningBS" hidden="1">#REF!</definedName>
    <definedName name="p.TaxCalculation" localSheetId="9" hidden="1">#REF!</definedName>
    <definedName name="p.TaxCalculation" localSheetId="69" hidden="1">#REF!</definedName>
    <definedName name="p.TaxCalculation" localSheetId="67" hidden="1">#REF!</definedName>
    <definedName name="p.TaxCalculation" localSheetId="4" hidden="1">#REF!</definedName>
    <definedName name="p.TaxCalculation" localSheetId="63" hidden="1">#REF!</definedName>
    <definedName name="p.TaxCalculation" hidden="1">#REF!</definedName>
    <definedName name="Pal_Workbook_GUID" hidden="1">"MZ13F7WREF2M259BRMK8ILZK"</definedName>
    <definedName name="PASO" localSheetId="9" hidden="1">{#N/A,#N/A,TRUE,"INGENIERIA";#N/A,#N/A,TRUE,"COMPRAS";#N/A,#N/A,TRUE,"DIRECCION";#N/A,#N/A,TRUE,"RESUMEN"}</definedName>
    <definedName name="PASO" localSheetId="69" hidden="1">{#N/A,#N/A,TRUE,"INGENIERIA";#N/A,#N/A,TRUE,"COMPRAS";#N/A,#N/A,TRUE,"DIRECCION";#N/A,#N/A,TRUE,"RESUMEN"}</definedName>
    <definedName name="PASO" localSheetId="67" hidden="1">{#N/A,#N/A,TRUE,"INGENIERIA";#N/A,#N/A,TRUE,"COMPRAS";#N/A,#N/A,TRUE,"DIRECCION";#N/A,#N/A,TRUE,"RESUMEN"}</definedName>
    <definedName name="PASO" localSheetId="4" hidden="1">{#N/A,#N/A,TRUE,"INGENIERIA";#N/A,#N/A,TRUE,"COMPRAS";#N/A,#N/A,TRUE,"DIRECCION";#N/A,#N/A,TRUE,"RESUMEN"}</definedName>
    <definedName name="PASO" localSheetId="68" hidden="1">{#N/A,#N/A,TRUE,"INGENIERIA";#N/A,#N/A,TRUE,"COMPRAS";#N/A,#N/A,TRUE,"DIRECCION";#N/A,#N/A,TRUE,"RESUMEN"}</definedName>
    <definedName name="PASO" localSheetId="64" hidden="1">{#N/A,#N/A,TRUE,"INGENIERIA";#N/A,#N/A,TRUE,"COMPRAS";#N/A,#N/A,TRUE,"DIRECCION";#N/A,#N/A,TRUE,"RESUMEN"}</definedName>
    <definedName name="PASO" localSheetId="5" hidden="1">{#N/A,#N/A,TRUE,"INGENIERIA";#N/A,#N/A,TRUE,"COMPRAS";#N/A,#N/A,TRUE,"DIRECCION";#N/A,#N/A,TRUE,"RESUMEN"}</definedName>
    <definedName name="PASO" localSheetId="63" hidden="1">{#N/A,#N/A,TRUE,"INGENIERIA";#N/A,#N/A,TRUE,"COMPRAS";#N/A,#N/A,TRUE,"DIRECCION";#N/A,#N/A,TRUE,"RESUMEN"}</definedName>
    <definedName name="PASO" hidden="1">{#N/A,#N/A,TRUE,"INGENIERIA";#N/A,#N/A,TRUE,"COMPRAS";#N/A,#N/A,TRUE,"DIRECCION";#N/A,#N/A,TRUE,"RESUMEN"}</definedName>
    <definedName name="PASS" localSheetId="9" hidden="1">{#N/A,#N/A,TRUE,"INGENIERIA";#N/A,#N/A,TRUE,"COMPRAS";#N/A,#N/A,TRUE,"DIRECCION";#N/A,#N/A,TRUE,"RESUMEN"}</definedName>
    <definedName name="PASS" localSheetId="69" hidden="1">{#N/A,#N/A,TRUE,"INGENIERIA";#N/A,#N/A,TRUE,"COMPRAS";#N/A,#N/A,TRUE,"DIRECCION";#N/A,#N/A,TRUE,"RESUMEN"}</definedName>
    <definedName name="PASS" localSheetId="67" hidden="1">{#N/A,#N/A,TRUE,"INGENIERIA";#N/A,#N/A,TRUE,"COMPRAS";#N/A,#N/A,TRUE,"DIRECCION";#N/A,#N/A,TRUE,"RESUMEN"}</definedName>
    <definedName name="PASS" localSheetId="4" hidden="1">{#N/A,#N/A,TRUE,"INGENIERIA";#N/A,#N/A,TRUE,"COMPRAS";#N/A,#N/A,TRUE,"DIRECCION";#N/A,#N/A,TRUE,"RESUMEN"}</definedName>
    <definedName name="PASS" localSheetId="68" hidden="1">{#N/A,#N/A,TRUE,"INGENIERIA";#N/A,#N/A,TRUE,"COMPRAS";#N/A,#N/A,TRUE,"DIRECCION";#N/A,#N/A,TRUE,"RESUMEN"}</definedName>
    <definedName name="PASS" localSheetId="64" hidden="1">{#N/A,#N/A,TRUE,"INGENIERIA";#N/A,#N/A,TRUE,"COMPRAS";#N/A,#N/A,TRUE,"DIRECCION";#N/A,#N/A,TRUE,"RESUMEN"}</definedName>
    <definedName name="PASS" localSheetId="5" hidden="1">{#N/A,#N/A,TRUE,"INGENIERIA";#N/A,#N/A,TRUE,"COMPRAS";#N/A,#N/A,TRUE,"DIRECCION";#N/A,#N/A,TRUE,"RESUMEN"}</definedName>
    <definedName name="PASS" localSheetId="63" hidden="1">{#N/A,#N/A,TRUE,"INGENIERIA";#N/A,#N/A,TRUE,"COMPRAS";#N/A,#N/A,TRUE,"DIRECCION";#N/A,#N/A,TRUE,"RESUMEN"}</definedName>
    <definedName name="PASS" hidden="1">{#N/A,#N/A,TRUE,"INGENIERIA";#N/A,#N/A,TRUE,"COMPRAS";#N/A,#N/A,TRUE,"DIRECCION";#N/A,#N/A,TRUE,"RESUMEN"}</definedName>
    <definedName name="PIA" localSheetId="9" hidden="1">#REF!</definedName>
    <definedName name="PIA" localSheetId="69" hidden="1">#REF!</definedName>
    <definedName name="PIA" localSheetId="67" hidden="1">#REF!</definedName>
    <definedName name="PIA" localSheetId="4" hidden="1">#REF!</definedName>
    <definedName name="PIA" localSheetId="63" hidden="1">#REF!</definedName>
    <definedName name="PIA" hidden="1">#REF!</definedName>
    <definedName name="PLUG" localSheetId="9" hidden="1">#REF!</definedName>
    <definedName name="PLUG" localSheetId="69" hidden="1">#REF!</definedName>
    <definedName name="PLUG" localSheetId="67" hidden="1">#REF!</definedName>
    <definedName name="PLUG" localSheetId="4" hidden="1">#REF!</definedName>
    <definedName name="PLUG" localSheetId="63" hidden="1">#REF!</definedName>
    <definedName name="PLUG" hidden="1">#REF!</definedName>
    <definedName name="PrintEnd" localSheetId="9" hidden="1">#REF!</definedName>
    <definedName name="PrintEnd" localSheetId="69" hidden="1">#REF!</definedName>
    <definedName name="PrintEnd" localSheetId="67" hidden="1">#REF!</definedName>
    <definedName name="PrintEnd" localSheetId="4" hidden="1">#REF!</definedName>
    <definedName name="PrintEnd" localSheetId="63" hidden="1">#REF!</definedName>
    <definedName name="PrintEnd" hidden="1">#REF!</definedName>
    <definedName name="PrintStart" localSheetId="9" hidden="1">#REF!</definedName>
    <definedName name="PrintStart" localSheetId="69" hidden="1">#REF!</definedName>
    <definedName name="PrintStart" localSheetId="67" hidden="1">#REF!</definedName>
    <definedName name="PrintStart" localSheetId="4" hidden="1">#REF!</definedName>
    <definedName name="PrintStart" localSheetId="63" hidden="1">#REF!</definedName>
    <definedName name="PrintStart" hidden="1">#REF!</definedName>
    <definedName name="PTTTT" localSheetId="9" hidden="1">{#N/A,#N/A,TRUE,"INGENIERIA";#N/A,#N/A,TRUE,"COMPRAS";#N/A,#N/A,TRUE,"DIRECCION";#N/A,#N/A,TRUE,"RESUMEN"}</definedName>
    <definedName name="PTTTT" localSheetId="69" hidden="1">{#N/A,#N/A,TRUE,"INGENIERIA";#N/A,#N/A,TRUE,"COMPRAS";#N/A,#N/A,TRUE,"DIRECCION";#N/A,#N/A,TRUE,"RESUMEN"}</definedName>
    <definedName name="PTTTT" localSheetId="67" hidden="1">{#N/A,#N/A,TRUE,"INGENIERIA";#N/A,#N/A,TRUE,"COMPRAS";#N/A,#N/A,TRUE,"DIRECCION";#N/A,#N/A,TRUE,"RESUMEN"}</definedName>
    <definedName name="PTTTT" localSheetId="4" hidden="1">{#N/A,#N/A,TRUE,"INGENIERIA";#N/A,#N/A,TRUE,"COMPRAS";#N/A,#N/A,TRUE,"DIRECCION";#N/A,#N/A,TRUE,"RESUMEN"}</definedName>
    <definedName name="PTTTT" localSheetId="68" hidden="1">{#N/A,#N/A,TRUE,"INGENIERIA";#N/A,#N/A,TRUE,"COMPRAS";#N/A,#N/A,TRUE,"DIRECCION";#N/A,#N/A,TRUE,"RESUMEN"}</definedName>
    <definedName name="PTTTT" localSheetId="64" hidden="1">{#N/A,#N/A,TRUE,"INGENIERIA";#N/A,#N/A,TRUE,"COMPRAS";#N/A,#N/A,TRUE,"DIRECCION";#N/A,#N/A,TRUE,"RESUMEN"}</definedName>
    <definedName name="PTTTT" localSheetId="5" hidden="1">{#N/A,#N/A,TRUE,"INGENIERIA";#N/A,#N/A,TRUE,"COMPRAS";#N/A,#N/A,TRUE,"DIRECCION";#N/A,#N/A,TRUE,"RESUMEN"}</definedName>
    <definedName name="PTTTT" localSheetId="63" hidden="1">{#N/A,#N/A,TRUE,"INGENIERIA";#N/A,#N/A,TRUE,"COMPRAS";#N/A,#N/A,TRUE,"DIRECCION";#N/A,#N/A,TRUE,"RESUMEN"}</definedName>
    <definedName name="PTTTT" hidden="1">{#N/A,#N/A,TRUE,"INGENIERIA";#N/A,#N/A,TRUE,"COMPRAS";#N/A,#N/A,TRUE,"DIRECCION";#N/A,#N/A,TRUE,"RESUMEN"}</definedName>
    <definedName name="QWE" localSheetId="9" hidden="1">#REF!</definedName>
    <definedName name="QWE" localSheetId="69" hidden="1">'[1]ETAPA 50 SMMLV'!#REF!</definedName>
    <definedName name="QWE" localSheetId="67" hidden="1">#REF!</definedName>
    <definedName name="QWE" localSheetId="4" hidden="1">#REF!</definedName>
    <definedName name="QWE" localSheetId="63" hidden="1">#REF!</definedName>
    <definedName name="QWE" hidden="1">#REF!</definedName>
    <definedName name="r.CashFlow" localSheetId="9" hidden="1">#REF!</definedName>
    <definedName name="r.CashFlow" localSheetId="69" hidden="1">#REF!</definedName>
    <definedName name="r.CashFlow" localSheetId="67" hidden="1">#REF!</definedName>
    <definedName name="r.CashFlow" localSheetId="4" hidden="1">#REF!</definedName>
    <definedName name="r.CashFlow" localSheetId="63" hidden="1">#REF!</definedName>
    <definedName name="r.CashFlow" hidden="1">#REF!</definedName>
    <definedName name="r.Leverage" localSheetId="9" hidden="1">#REF!</definedName>
    <definedName name="r.Leverage" localSheetId="69" hidden="1">#REF!</definedName>
    <definedName name="r.Leverage" localSheetId="67" hidden="1">#REF!</definedName>
    <definedName name="r.Leverage" localSheetId="4" hidden="1">#REF!</definedName>
    <definedName name="r.Leverage" localSheetId="63" hidden="1">#REF!</definedName>
    <definedName name="r.Leverage" hidden="1">#REF!</definedName>
    <definedName name="r.Liquidity" localSheetId="9" hidden="1">#REF!</definedName>
    <definedName name="r.Liquidity" localSheetId="69" hidden="1">#REF!</definedName>
    <definedName name="r.Liquidity" localSheetId="67" hidden="1">#REF!</definedName>
    <definedName name="r.Liquidity" localSheetId="4" hidden="1">#REF!</definedName>
    <definedName name="r.Liquidity" localSheetId="63" hidden="1">#REF!</definedName>
    <definedName name="r.Liquidity" hidden="1">#REF!</definedName>
    <definedName name="r.Market" localSheetId="9" hidden="1">#REF!</definedName>
    <definedName name="r.Market" localSheetId="69" hidden="1">#REF!</definedName>
    <definedName name="r.Market" localSheetId="67" hidden="1">#REF!</definedName>
    <definedName name="r.Market" localSheetId="4" hidden="1">#REF!</definedName>
    <definedName name="r.Market" localSheetId="63" hidden="1">#REF!</definedName>
    <definedName name="r.Market" hidden="1">#REF!</definedName>
    <definedName name="r.Profitability" localSheetId="9" hidden="1">#REF!</definedName>
    <definedName name="r.Profitability" localSheetId="69" hidden="1">#REF!</definedName>
    <definedName name="r.Profitability" localSheetId="67" hidden="1">#REF!</definedName>
    <definedName name="r.Profitability" localSheetId="4" hidden="1">#REF!</definedName>
    <definedName name="r.Profitability" localSheetId="63" hidden="1">#REF!</definedName>
    <definedName name="r.Profitability" hidden="1">#REF!</definedName>
    <definedName name="r.Summary" localSheetId="9" hidden="1">#REF!</definedName>
    <definedName name="r.Summary" localSheetId="69" hidden="1">#REF!</definedName>
    <definedName name="r.Summary" localSheetId="67" hidden="1">#REF!</definedName>
    <definedName name="r.Summary" localSheetId="4" hidden="1">#REF!</definedName>
    <definedName name="r.Summary" localSheetId="63" hidden="1">#REF!</definedName>
    <definedName name="r.Summary"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ws2Unhide" localSheetId="9" hidden="1">#REF!</definedName>
    <definedName name="Rows2Unhide" localSheetId="69" hidden="1">#REF!</definedName>
    <definedName name="Rows2Unhide" localSheetId="67" hidden="1">#REF!</definedName>
    <definedName name="Rows2Unhide" localSheetId="4" hidden="1">#REF!</definedName>
    <definedName name="Rows2Unhide" localSheetId="63" hidden="1">#REF!</definedName>
    <definedName name="Rows2Unhide" hidden="1">#REF!</definedName>
    <definedName name="sencount" hidden="1">1</definedName>
    <definedName name="SOSO" localSheetId="9" hidden="1">#REF!</definedName>
    <definedName name="SOSO" localSheetId="69" hidden="1">'[1]ETAPA 50 SMMLV'!#REF!</definedName>
    <definedName name="SOSO" localSheetId="67" hidden="1">#REF!</definedName>
    <definedName name="SOSO" localSheetId="4" hidden="1">#REF!</definedName>
    <definedName name="SOSO" localSheetId="63" hidden="1">#REF!</definedName>
    <definedName name="SOSO" hidden="1">#REF!</definedName>
    <definedName name="Stub" localSheetId="9" hidden="1">#REF!</definedName>
    <definedName name="Stub" localSheetId="69" hidden="1">#REF!</definedName>
    <definedName name="Stub" localSheetId="67" hidden="1">#REF!</definedName>
    <definedName name="Stub" localSheetId="4" hidden="1">#REF!</definedName>
    <definedName name="Stub" localSheetId="63" hidden="1">#REF!</definedName>
    <definedName name="Stub" hidden="1">#REF!</definedName>
    <definedName name="Stub_Header1" localSheetId="9" hidden="1">#REF!</definedName>
    <definedName name="Stub_Header1" localSheetId="69" hidden="1">#REF!</definedName>
    <definedName name="Stub_Header1" localSheetId="67" hidden="1">#REF!</definedName>
    <definedName name="Stub_Header1" localSheetId="4" hidden="1">#REF!</definedName>
    <definedName name="Stub_Header1" localSheetId="63" hidden="1">#REF!</definedName>
    <definedName name="Stub_Header1" hidden="1">#REF!</definedName>
    <definedName name="Stub_Header2" localSheetId="9" hidden="1">#REF!</definedName>
    <definedName name="Stub_Header2" localSheetId="69" hidden="1">#REF!</definedName>
    <definedName name="Stub_Header2" localSheetId="67" hidden="1">#REF!</definedName>
    <definedName name="Stub_Header2" localSheetId="4" hidden="1">#REF!</definedName>
    <definedName name="Stub_Header2" localSheetId="63" hidden="1">#REF!</definedName>
    <definedName name="Stub_Header2" hidden="1">#REF!</definedName>
    <definedName name="Stub_Header3" localSheetId="9" hidden="1">#REF!</definedName>
    <definedName name="Stub_Header3" localSheetId="69" hidden="1">#REF!</definedName>
    <definedName name="Stub_Header3" localSheetId="67" hidden="1">#REF!</definedName>
    <definedName name="Stub_Header3" localSheetId="4" hidden="1">#REF!</definedName>
    <definedName name="Stub_Header3" localSheetId="63" hidden="1">#REF!</definedName>
    <definedName name="Stub_Header3" hidden="1">#REF!</definedName>
    <definedName name="Supervía" localSheetId="9" hidden="1">{#N/A,#N/A,TRUE,"0001";#N/A,#N/A,TRUE,"0002";#N/A,#N/A,TRUE,"0003";#N/A,#N/A,TRUE,"0004";#N/A,#N/A,TRUE,"0005";#N/A,#N/A,TRUE,"0006";#N/A,#N/A,TRUE,"0007";#N/A,#N/A,TRUE,"0008";#N/A,#N/A,TRUE,"0009";#N/A,#N/A,TRUE,"0010"}</definedName>
    <definedName name="Supervía" localSheetId="69" hidden="1">{#N/A,#N/A,TRUE,"0001";#N/A,#N/A,TRUE,"0002";#N/A,#N/A,TRUE,"0003";#N/A,#N/A,TRUE,"0004";#N/A,#N/A,TRUE,"0005";#N/A,#N/A,TRUE,"0006";#N/A,#N/A,TRUE,"0007";#N/A,#N/A,TRUE,"0008";#N/A,#N/A,TRUE,"0009";#N/A,#N/A,TRUE,"0010"}</definedName>
    <definedName name="Supervía" localSheetId="67" hidden="1">{#N/A,#N/A,TRUE,"0001";#N/A,#N/A,TRUE,"0002";#N/A,#N/A,TRUE,"0003";#N/A,#N/A,TRUE,"0004";#N/A,#N/A,TRUE,"0005";#N/A,#N/A,TRUE,"0006";#N/A,#N/A,TRUE,"0007";#N/A,#N/A,TRUE,"0008";#N/A,#N/A,TRUE,"0009";#N/A,#N/A,TRUE,"0010"}</definedName>
    <definedName name="Supervía" localSheetId="4" hidden="1">{#N/A,#N/A,TRUE,"0001";#N/A,#N/A,TRUE,"0002";#N/A,#N/A,TRUE,"0003";#N/A,#N/A,TRUE,"0004";#N/A,#N/A,TRUE,"0005";#N/A,#N/A,TRUE,"0006";#N/A,#N/A,TRUE,"0007";#N/A,#N/A,TRUE,"0008";#N/A,#N/A,TRUE,"0009";#N/A,#N/A,TRUE,"0010"}</definedName>
    <definedName name="Supervía" localSheetId="68" hidden="1">{#N/A,#N/A,TRUE,"0001";#N/A,#N/A,TRUE,"0002";#N/A,#N/A,TRUE,"0003";#N/A,#N/A,TRUE,"0004";#N/A,#N/A,TRUE,"0005";#N/A,#N/A,TRUE,"0006";#N/A,#N/A,TRUE,"0007";#N/A,#N/A,TRUE,"0008";#N/A,#N/A,TRUE,"0009";#N/A,#N/A,TRUE,"0010"}</definedName>
    <definedName name="Supervía" localSheetId="64" hidden="1">{#N/A,#N/A,TRUE,"0001";#N/A,#N/A,TRUE,"0002";#N/A,#N/A,TRUE,"0003";#N/A,#N/A,TRUE,"0004";#N/A,#N/A,TRUE,"0005";#N/A,#N/A,TRUE,"0006";#N/A,#N/A,TRUE,"0007";#N/A,#N/A,TRUE,"0008";#N/A,#N/A,TRUE,"0009";#N/A,#N/A,TRUE,"0010"}</definedName>
    <definedName name="Supervía" localSheetId="5" hidden="1">{#N/A,#N/A,TRUE,"0001";#N/A,#N/A,TRUE,"0002";#N/A,#N/A,TRUE,"0003";#N/A,#N/A,TRUE,"0004";#N/A,#N/A,TRUE,"0005";#N/A,#N/A,TRUE,"0006";#N/A,#N/A,TRUE,"0007";#N/A,#N/A,TRUE,"0008";#N/A,#N/A,TRUE,"0009";#N/A,#N/A,TRUE,"0010"}</definedName>
    <definedName name="Supervía" localSheetId="63" hidden="1">{#N/A,#N/A,TRUE,"0001";#N/A,#N/A,TRUE,"0002";#N/A,#N/A,TRUE,"0003";#N/A,#N/A,TRUE,"0004";#N/A,#N/A,TRUE,"0005";#N/A,#N/A,TRUE,"0006";#N/A,#N/A,TRUE,"0007";#N/A,#N/A,TRUE,"0008";#N/A,#N/A,TRUE,"0009";#N/A,#N/A,TRUE,"0010"}</definedName>
    <definedName name="Supervía" hidden="1">{#N/A,#N/A,TRUE,"0001";#N/A,#N/A,TRUE,"0002";#N/A,#N/A,TRUE,"0003";#N/A,#N/A,TRUE,"0004";#N/A,#N/A,TRUE,"0005";#N/A,#N/A,TRUE,"0006";#N/A,#N/A,TRUE,"0007";#N/A,#N/A,TRUE,"0008";#N/A,#N/A,TRUE,"0009";#N/A,#N/A,TRUE,"0010"}</definedName>
    <definedName name="Supervía_1" localSheetId="9" hidden="1">{#N/A,#N/A,TRUE,"0001";#N/A,#N/A,TRUE,"0002";#N/A,#N/A,TRUE,"0003";#N/A,#N/A,TRUE,"0004";#N/A,#N/A,TRUE,"0005";#N/A,#N/A,TRUE,"0006";#N/A,#N/A,TRUE,"0007";#N/A,#N/A,TRUE,"0008";#N/A,#N/A,TRUE,"0009";#N/A,#N/A,TRUE,"0010"}</definedName>
    <definedName name="Supervía_1" localSheetId="69" hidden="1">{#N/A,#N/A,TRUE,"0001";#N/A,#N/A,TRUE,"0002";#N/A,#N/A,TRUE,"0003";#N/A,#N/A,TRUE,"0004";#N/A,#N/A,TRUE,"0005";#N/A,#N/A,TRUE,"0006";#N/A,#N/A,TRUE,"0007";#N/A,#N/A,TRUE,"0008";#N/A,#N/A,TRUE,"0009";#N/A,#N/A,TRUE,"0010"}</definedName>
    <definedName name="Supervía_1" localSheetId="67" hidden="1">{#N/A,#N/A,TRUE,"0001";#N/A,#N/A,TRUE,"0002";#N/A,#N/A,TRUE,"0003";#N/A,#N/A,TRUE,"0004";#N/A,#N/A,TRUE,"0005";#N/A,#N/A,TRUE,"0006";#N/A,#N/A,TRUE,"0007";#N/A,#N/A,TRUE,"0008";#N/A,#N/A,TRUE,"0009";#N/A,#N/A,TRUE,"0010"}</definedName>
    <definedName name="Supervía_1" localSheetId="4" hidden="1">{#N/A,#N/A,TRUE,"0001";#N/A,#N/A,TRUE,"0002";#N/A,#N/A,TRUE,"0003";#N/A,#N/A,TRUE,"0004";#N/A,#N/A,TRUE,"0005";#N/A,#N/A,TRUE,"0006";#N/A,#N/A,TRUE,"0007";#N/A,#N/A,TRUE,"0008";#N/A,#N/A,TRUE,"0009";#N/A,#N/A,TRUE,"0010"}</definedName>
    <definedName name="Supervía_1" localSheetId="68" hidden="1">{#N/A,#N/A,TRUE,"0001";#N/A,#N/A,TRUE,"0002";#N/A,#N/A,TRUE,"0003";#N/A,#N/A,TRUE,"0004";#N/A,#N/A,TRUE,"0005";#N/A,#N/A,TRUE,"0006";#N/A,#N/A,TRUE,"0007";#N/A,#N/A,TRUE,"0008";#N/A,#N/A,TRUE,"0009";#N/A,#N/A,TRUE,"0010"}</definedName>
    <definedName name="Supervía_1" localSheetId="64" hidden="1">{#N/A,#N/A,TRUE,"0001";#N/A,#N/A,TRUE,"0002";#N/A,#N/A,TRUE,"0003";#N/A,#N/A,TRUE,"0004";#N/A,#N/A,TRUE,"0005";#N/A,#N/A,TRUE,"0006";#N/A,#N/A,TRUE,"0007";#N/A,#N/A,TRUE,"0008";#N/A,#N/A,TRUE,"0009";#N/A,#N/A,TRUE,"0010"}</definedName>
    <definedName name="Supervía_1" localSheetId="5" hidden="1">{#N/A,#N/A,TRUE,"0001";#N/A,#N/A,TRUE,"0002";#N/A,#N/A,TRUE,"0003";#N/A,#N/A,TRUE,"0004";#N/A,#N/A,TRUE,"0005";#N/A,#N/A,TRUE,"0006";#N/A,#N/A,TRUE,"0007";#N/A,#N/A,TRUE,"0008";#N/A,#N/A,TRUE,"0009";#N/A,#N/A,TRUE,"0010"}</definedName>
    <definedName name="Supervía_1" localSheetId="63" hidden="1">{#N/A,#N/A,TRUE,"0001";#N/A,#N/A,TRUE,"0002";#N/A,#N/A,TRUE,"0003";#N/A,#N/A,TRUE,"0004";#N/A,#N/A,TRUE,"0005";#N/A,#N/A,TRUE,"0006";#N/A,#N/A,TRUE,"0007";#N/A,#N/A,TRUE,"0008";#N/A,#N/A,TRUE,"0009";#N/A,#N/A,TRUE,"0010"}</definedName>
    <definedName name="Supervía_1" hidden="1">{#N/A,#N/A,TRUE,"0001";#N/A,#N/A,TRUE,"0002";#N/A,#N/A,TRUE,"0003";#N/A,#N/A,TRUE,"0004";#N/A,#N/A,TRUE,"0005";#N/A,#N/A,TRUE,"0006";#N/A,#N/A,TRUE,"0007";#N/A,#N/A,TRUE,"0008";#N/A,#N/A,TRUE,"0009";#N/A,#N/A,TRUE,"0010"}</definedName>
    <definedName name="Taxpb" localSheetId="9" hidden="1">#REF!</definedName>
    <definedName name="Taxpb" localSheetId="69" hidden="1">#REF!</definedName>
    <definedName name="Taxpb" localSheetId="67" hidden="1">#REF!</definedName>
    <definedName name="Taxpb" localSheetId="4" hidden="1">#REF!</definedName>
    <definedName name="Taxpb" localSheetId="63" hidden="1">#REF!</definedName>
    <definedName name="Taxpb" hidden="1">#REF!</definedName>
    <definedName name="Titlepb" localSheetId="9" hidden="1">#REF!</definedName>
    <definedName name="Titlepb" localSheetId="69" hidden="1">#REF!</definedName>
    <definedName name="Titlepb" localSheetId="67" hidden="1">#REF!</definedName>
    <definedName name="Titlepb" localSheetId="4" hidden="1">#REF!</definedName>
    <definedName name="Titlepb" localSheetId="63" hidden="1">#REF!</definedName>
    <definedName name="Titlepb" hidden="1">#REF!</definedName>
    <definedName name="TRANSPORI" localSheetId="9" hidden="1">{#N/A,#N/A,TRUE,"INGENIERIA";#N/A,#N/A,TRUE,"COMPRAS";#N/A,#N/A,TRUE,"DIRECCION";#N/A,#N/A,TRUE,"RESUMEN"}</definedName>
    <definedName name="TRANSPORI" localSheetId="69" hidden="1">{#N/A,#N/A,TRUE,"INGENIERIA";#N/A,#N/A,TRUE,"COMPRAS";#N/A,#N/A,TRUE,"DIRECCION";#N/A,#N/A,TRUE,"RESUMEN"}</definedName>
    <definedName name="TRANSPORI" localSheetId="67" hidden="1">{#N/A,#N/A,TRUE,"INGENIERIA";#N/A,#N/A,TRUE,"COMPRAS";#N/A,#N/A,TRUE,"DIRECCION";#N/A,#N/A,TRUE,"RESUMEN"}</definedName>
    <definedName name="TRANSPORI" localSheetId="4" hidden="1">{#N/A,#N/A,TRUE,"INGENIERIA";#N/A,#N/A,TRUE,"COMPRAS";#N/A,#N/A,TRUE,"DIRECCION";#N/A,#N/A,TRUE,"RESUMEN"}</definedName>
    <definedName name="TRANSPORI" localSheetId="68" hidden="1">{#N/A,#N/A,TRUE,"INGENIERIA";#N/A,#N/A,TRUE,"COMPRAS";#N/A,#N/A,TRUE,"DIRECCION";#N/A,#N/A,TRUE,"RESUMEN"}</definedName>
    <definedName name="TRANSPORI" localSheetId="64" hidden="1">{#N/A,#N/A,TRUE,"INGENIERIA";#N/A,#N/A,TRUE,"COMPRAS";#N/A,#N/A,TRUE,"DIRECCION";#N/A,#N/A,TRUE,"RESUMEN"}</definedName>
    <definedName name="TRANSPORI" localSheetId="5" hidden="1">{#N/A,#N/A,TRUE,"INGENIERIA";#N/A,#N/A,TRUE,"COMPRAS";#N/A,#N/A,TRUE,"DIRECCION";#N/A,#N/A,TRUE,"RESUMEN"}</definedName>
    <definedName name="TRANSPORI" localSheetId="63" hidden="1">{#N/A,#N/A,TRUE,"INGENIERIA";#N/A,#N/A,TRUE,"COMPRAS";#N/A,#N/A,TRUE,"DIRECCION";#N/A,#N/A,TRUE,"RESUMEN"}</definedName>
    <definedName name="TRANSPORI" hidden="1">{#N/A,#N/A,TRUE,"INGENIERIA";#N/A,#N/A,TRUE,"COMPRAS";#N/A,#N/A,TRUE,"DIRECCION";#N/A,#N/A,TRUE,"RESUMEN"}</definedName>
    <definedName name="TRANSPORTE" localSheetId="9" hidden="1">{#N/A,#N/A,TRUE,"INGENIERIA";#N/A,#N/A,TRUE,"COMPRAS";#N/A,#N/A,TRUE,"DIRECCION";#N/A,#N/A,TRUE,"RESUMEN"}</definedName>
    <definedName name="TRANSPORTE" localSheetId="69" hidden="1">{#N/A,#N/A,TRUE,"INGENIERIA";#N/A,#N/A,TRUE,"COMPRAS";#N/A,#N/A,TRUE,"DIRECCION";#N/A,#N/A,TRUE,"RESUMEN"}</definedName>
    <definedName name="TRANSPORTE" localSheetId="4" hidden="1">{#N/A,#N/A,TRUE,"INGENIERIA";#N/A,#N/A,TRUE,"COMPRAS";#N/A,#N/A,TRUE,"DIRECCION";#N/A,#N/A,TRUE,"RESUMEN"}</definedName>
    <definedName name="TRANSPORTE" localSheetId="5" hidden="1">{#N/A,#N/A,TRUE,"INGENIERIA";#N/A,#N/A,TRUE,"COMPRAS";#N/A,#N/A,TRUE,"DIRECCION";#N/A,#N/A,TRUE,"RESUMEN"}</definedName>
    <definedName name="TRANSPORTE" localSheetId="63" hidden="1">{#N/A,#N/A,TRUE,"INGENIERIA";#N/A,#N/A,TRUE,"COMPRAS";#N/A,#N/A,TRUE,"DIRECCION";#N/A,#N/A,TRUE,"RESUMEN"}</definedName>
    <definedName name="TRANSPORTE" hidden="1">{#N/A,#N/A,TRUE,"INGENIERIA";#N/A,#N/A,TRUE,"COMPRAS";#N/A,#N/A,TRUE,"DIRECCION";#N/A,#N/A,TRUE,"RESUMEN"}</definedName>
    <definedName name="Unit" localSheetId="9" hidden="1">#REF!</definedName>
    <definedName name="Unit" localSheetId="69" hidden="1">#REF!</definedName>
    <definedName name="Unit" localSheetId="67" hidden="1">#REF!</definedName>
    <definedName name="Unit" localSheetId="4" hidden="1">#REF!</definedName>
    <definedName name="Unit" localSheetId="63" hidden="1">#REF!</definedName>
    <definedName name="Unit" hidden="1">#REF!</definedName>
    <definedName name="usuv">[4]Resumen!$B$11</definedName>
    <definedName name="uuuu" localSheetId="9" hidden="1">#REF!</definedName>
    <definedName name="uuuu" localSheetId="69" hidden="1">#REF!</definedName>
    <definedName name="uuuu" localSheetId="67" hidden="1">#REF!</definedName>
    <definedName name="uuuu" localSheetId="4" hidden="1">#REF!</definedName>
    <definedName name="uuuu" localSheetId="63" hidden="1">#REF!</definedName>
    <definedName name="uuuu" hidden="1">#REF!</definedName>
    <definedName name="via" localSheetId="9" hidden="1">{"via1",#N/A,TRUE,"general";"via2",#N/A,TRUE,"general";"via3",#N/A,TRUE,"general"}</definedName>
    <definedName name="via" localSheetId="69" hidden="1">{"via1",#N/A,TRUE,"general";"via2",#N/A,TRUE,"general";"via3",#N/A,TRUE,"general"}</definedName>
    <definedName name="via" localSheetId="67" hidden="1">{"via1",#N/A,TRUE,"general";"via2",#N/A,TRUE,"general";"via3",#N/A,TRUE,"general"}</definedName>
    <definedName name="via" localSheetId="4" hidden="1">{"via1",#N/A,TRUE,"general";"via2",#N/A,TRUE,"general";"via3",#N/A,TRUE,"general"}</definedName>
    <definedName name="via" localSheetId="68" hidden="1">{"via1",#N/A,TRUE,"general";"via2",#N/A,TRUE,"general";"via3",#N/A,TRUE,"general"}</definedName>
    <definedName name="via" localSheetId="64" hidden="1">{"via1",#N/A,TRUE,"general";"via2",#N/A,TRUE,"general";"via3",#N/A,TRUE,"general"}</definedName>
    <definedName name="via" localSheetId="5" hidden="1">{"via1",#N/A,TRUE,"general";"via2",#N/A,TRUE,"general";"via3",#N/A,TRUE,"general"}</definedName>
    <definedName name="via" localSheetId="63" hidden="1">{"via1",#N/A,TRUE,"general";"via2",#N/A,TRUE,"general";"via3",#N/A,TRUE,"general"}</definedName>
    <definedName name="via" hidden="1">{"via1",#N/A,TRUE,"general";"via2",#N/A,TRUE,"general";"via3",#N/A,TRUE,"general"}</definedName>
    <definedName name="via_1" localSheetId="9" hidden="1">{"via1",#N/A,TRUE,"general";"via2",#N/A,TRUE,"general";"via3",#N/A,TRUE,"general"}</definedName>
    <definedName name="via_1" localSheetId="69" hidden="1">{"via1",#N/A,TRUE,"general";"via2",#N/A,TRUE,"general";"via3",#N/A,TRUE,"general"}</definedName>
    <definedName name="via_1" localSheetId="67" hidden="1">{"via1",#N/A,TRUE,"general";"via2",#N/A,TRUE,"general";"via3",#N/A,TRUE,"general"}</definedName>
    <definedName name="via_1" localSheetId="4" hidden="1">{"via1",#N/A,TRUE,"general";"via2",#N/A,TRUE,"general";"via3",#N/A,TRUE,"general"}</definedName>
    <definedName name="via_1" localSheetId="68" hidden="1">{"via1",#N/A,TRUE,"general";"via2",#N/A,TRUE,"general";"via3",#N/A,TRUE,"general"}</definedName>
    <definedName name="via_1" localSheetId="64" hidden="1">{"via1",#N/A,TRUE,"general";"via2",#N/A,TRUE,"general";"via3",#N/A,TRUE,"general"}</definedName>
    <definedName name="via_1" localSheetId="5" hidden="1">{"via1",#N/A,TRUE,"general";"via2",#N/A,TRUE,"general";"via3",#N/A,TRUE,"general"}</definedName>
    <definedName name="via_1" localSheetId="63" hidden="1">{"via1",#N/A,TRUE,"general";"via2",#N/A,TRUE,"general";"via3",#N/A,TRUE,"general"}</definedName>
    <definedName name="via_1" hidden="1">{"via1",#N/A,TRUE,"general";"via2",#N/A,TRUE,"general";"via3",#N/A,TRUE,"general"}</definedName>
    <definedName name="w" localSheetId="9" hidden="1">#REF!</definedName>
    <definedName name="w" localSheetId="69" hidden="1">#REF!</definedName>
    <definedName name="w" localSheetId="67" hidden="1">#REF!</definedName>
    <definedName name="w" localSheetId="4" hidden="1">#REF!</definedName>
    <definedName name="w" localSheetId="63" hidden="1">#REF!</definedName>
    <definedName name="w" hidden="1">#REF!</definedName>
    <definedName name="wqw" localSheetId="9" hidden="1">#REF!</definedName>
    <definedName name="wqw" localSheetId="69" hidden="1">#REF!</definedName>
    <definedName name="wqw" localSheetId="67" hidden="1">#REF!</definedName>
    <definedName name="wqw" localSheetId="4" hidden="1">#REF!</definedName>
    <definedName name="wqw" localSheetId="63" hidden="1">#REF!</definedName>
    <definedName name="wqw" hidden="1">#REF!</definedName>
    <definedName name="wrn.ar." localSheetId="9" hidden="1">{#N/A,#N/A,TRUE,"CODIGO DEPENDENCIA"}</definedName>
    <definedName name="wrn.ar." localSheetId="69" hidden="1">{#N/A,#N/A,TRUE,"CODIGO DEPENDENCIA"}</definedName>
    <definedName name="wrn.ar." localSheetId="67" hidden="1">{#N/A,#N/A,TRUE,"CODIGO DEPENDENCIA"}</definedName>
    <definedName name="wrn.ar." localSheetId="4" hidden="1">{#N/A,#N/A,TRUE,"CODIGO DEPENDENCIA"}</definedName>
    <definedName name="wrn.ar." localSheetId="68" hidden="1">{#N/A,#N/A,TRUE,"CODIGO DEPENDENCIA"}</definedName>
    <definedName name="wrn.ar." localSheetId="64" hidden="1">{#N/A,#N/A,TRUE,"CODIGO DEPENDENCIA"}</definedName>
    <definedName name="wrn.ar." localSheetId="5" hidden="1">{#N/A,#N/A,TRUE,"CODIGO DEPENDENCIA"}</definedName>
    <definedName name="wrn.ar." localSheetId="63" hidden="1">{#N/A,#N/A,TRUE,"CODIGO DEPENDENCIA"}</definedName>
    <definedName name="wrn.ar." hidden="1">{#N/A,#N/A,TRUE,"CODIGO DEPENDENCIA"}</definedName>
    <definedName name="wrn.Financial._.Statements." localSheetId="9"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69"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67"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68"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6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5"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6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9"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69"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67"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68"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6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5"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63"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Ull._.Model." localSheetId="9"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69"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67"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68"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6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5"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6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9"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69"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67"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68"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6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5"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63"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localSheetId="9" hidden="1">{"TAB1",#N/A,TRUE,"GENERAL";"TAB2",#N/A,TRUE,"GENERAL";"TAB3",#N/A,TRUE,"GENERAL";"TAB4",#N/A,TRUE,"GENERAL";"TAB5",#N/A,TRUE,"GENERAL"}</definedName>
    <definedName name="wrn.GENERAL." localSheetId="69" hidden="1">{"TAB1",#N/A,TRUE,"GENERAL";"TAB2",#N/A,TRUE,"GENERAL";"TAB3",#N/A,TRUE,"GENERAL";"TAB4",#N/A,TRUE,"GENERAL";"TAB5",#N/A,TRUE,"GENERAL"}</definedName>
    <definedName name="wrn.GENERAL." localSheetId="67" hidden="1">{"TAB1",#N/A,TRUE,"GENERAL";"TAB2",#N/A,TRUE,"GENERAL";"TAB3",#N/A,TRUE,"GENERAL";"TAB4",#N/A,TRUE,"GENERAL";"TAB5",#N/A,TRUE,"GENERAL"}</definedName>
    <definedName name="wrn.GENERAL." localSheetId="4" hidden="1">{"TAB1",#N/A,TRUE,"GENERAL";"TAB2",#N/A,TRUE,"GENERAL";"TAB3",#N/A,TRUE,"GENERAL";"TAB4",#N/A,TRUE,"GENERAL";"TAB5",#N/A,TRUE,"GENERAL"}</definedName>
    <definedName name="wrn.GENERAL." localSheetId="68" hidden="1">{"TAB1",#N/A,TRUE,"GENERAL";"TAB2",#N/A,TRUE,"GENERAL";"TAB3",#N/A,TRUE,"GENERAL";"TAB4",#N/A,TRUE,"GENERAL";"TAB5",#N/A,TRUE,"GENERAL"}</definedName>
    <definedName name="wrn.GENERAL." localSheetId="64" hidden="1">{"TAB1",#N/A,TRUE,"GENERAL";"TAB2",#N/A,TRUE,"GENERAL";"TAB3",#N/A,TRUE,"GENERAL";"TAB4",#N/A,TRUE,"GENERAL";"TAB5",#N/A,TRUE,"GENERAL"}</definedName>
    <definedName name="wrn.GENERAL." localSheetId="5" hidden="1">{"TAB1",#N/A,TRUE,"GENERAL";"TAB2",#N/A,TRUE,"GENERAL";"TAB3",#N/A,TRUE,"GENERAL";"TAB4",#N/A,TRUE,"GENERAL";"TAB5",#N/A,TRUE,"GENERAL"}</definedName>
    <definedName name="wrn.GENERAL." localSheetId="63" hidden="1">{"TAB1",#N/A,TRUE,"GENERAL";"TAB2",#N/A,TRUE,"GENERAL";"TAB3",#N/A,TRUE,"GENERAL";"TAB4",#N/A,TRUE,"GENERAL";"TAB5",#N/A,TRUE,"GENERAL"}</definedName>
    <definedName name="wrn.GENERAL." hidden="1">{"TAB1",#N/A,TRUE,"GENERAL";"TAB2",#N/A,TRUE,"GENERAL";"TAB3",#N/A,TRUE,"GENERAL";"TAB4",#N/A,TRUE,"GENERAL";"TAB5",#N/A,TRUE,"GENERAL"}</definedName>
    <definedName name="wrn.GENERAL._1" localSheetId="9" hidden="1">{"TAB1",#N/A,TRUE,"GENERAL";"TAB2",#N/A,TRUE,"GENERAL";"TAB3",#N/A,TRUE,"GENERAL";"TAB4",#N/A,TRUE,"GENERAL";"TAB5",#N/A,TRUE,"GENERAL"}</definedName>
    <definedName name="wrn.GENERAL._1" localSheetId="69" hidden="1">{"TAB1",#N/A,TRUE,"GENERAL";"TAB2",#N/A,TRUE,"GENERAL";"TAB3",#N/A,TRUE,"GENERAL";"TAB4",#N/A,TRUE,"GENERAL";"TAB5",#N/A,TRUE,"GENERAL"}</definedName>
    <definedName name="wrn.GENERAL._1" localSheetId="67" hidden="1">{"TAB1",#N/A,TRUE,"GENERAL";"TAB2",#N/A,TRUE,"GENERAL";"TAB3",#N/A,TRUE,"GENERAL";"TAB4",#N/A,TRUE,"GENERAL";"TAB5",#N/A,TRUE,"GENERAL"}</definedName>
    <definedName name="wrn.GENERAL._1" localSheetId="4" hidden="1">{"TAB1",#N/A,TRUE,"GENERAL";"TAB2",#N/A,TRUE,"GENERAL";"TAB3",#N/A,TRUE,"GENERAL";"TAB4",#N/A,TRUE,"GENERAL";"TAB5",#N/A,TRUE,"GENERAL"}</definedName>
    <definedName name="wrn.GENERAL._1" localSheetId="68" hidden="1">{"TAB1",#N/A,TRUE,"GENERAL";"TAB2",#N/A,TRUE,"GENERAL";"TAB3",#N/A,TRUE,"GENERAL";"TAB4",#N/A,TRUE,"GENERAL";"TAB5",#N/A,TRUE,"GENERAL"}</definedName>
    <definedName name="wrn.GENERAL._1" localSheetId="64" hidden="1">{"TAB1",#N/A,TRUE,"GENERAL";"TAB2",#N/A,TRUE,"GENERAL";"TAB3",#N/A,TRUE,"GENERAL";"TAB4",#N/A,TRUE,"GENERAL";"TAB5",#N/A,TRUE,"GENERAL"}</definedName>
    <definedName name="wrn.GENERAL._1" localSheetId="5" hidden="1">{"TAB1",#N/A,TRUE,"GENERAL";"TAB2",#N/A,TRUE,"GENERAL";"TAB3",#N/A,TRUE,"GENERAL";"TAB4",#N/A,TRUE,"GENERAL";"TAB5",#N/A,TRUE,"GENERAL"}</definedName>
    <definedName name="wrn.GENERAL._1" localSheetId="63" hidden="1">{"TAB1",#N/A,TRUE,"GENERAL";"TAB2",#N/A,TRUE,"GENERAL";"TAB3",#N/A,TRUE,"GENERAL";"TAB4",#N/A,TRUE,"GENERAL";"TAB5",#N/A,TRUE,"GENERAL"}</definedName>
    <definedName name="wrn.GENERAL._1" hidden="1">{"TAB1",#N/A,TRUE,"GENERAL";"TAB2",#N/A,TRUE,"GENERAL";"TAB3",#N/A,TRUE,"GENERAL";"TAB4",#N/A,TRUE,"GENERAL";"TAB5",#N/A,TRUE,"GENERAL"}</definedName>
    <definedName name="wrn.GERENCIA." localSheetId="9" hidden="1">{#N/A,#N/A,TRUE,"INGENIERIA";#N/A,#N/A,TRUE,"COMPRAS";#N/A,#N/A,TRUE,"DIRECCION";#N/A,#N/A,TRUE,"RESUMEN"}</definedName>
    <definedName name="wrn.GERENCIA." localSheetId="69" hidden="1">{#N/A,#N/A,TRUE,"INGENIERIA";#N/A,#N/A,TRUE,"COMPRAS";#N/A,#N/A,TRUE,"DIRECCION";#N/A,#N/A,TRUE,"RESUMEN"}</definedName>
    <definedName name="wrn.GERENCIA." localSheetId="67" hidden="1">{#N/A,#N/A,TRUE,"INGENIERIA";#N/A,#N/A,TRUE,"COMPRAS";#N/A,#N/A,TRUE,"DIRECCION";#N/A,#N/A,TRUE,"RESUMEN"}</definedName>
    <definedName name="wrn.GERENCIA." localSheetId="4" hidden="1">{#N/A,#N/A,TRUE,"INGENIERIA";#N/A,#N/A,TRUE,"COMPRAS";#N/A,#N/A,TRUE,"DIRECCION";#N/A,#N/A,TRUE,"RESUMEN"}</definedName>
    <definedName name="wrn.GERENCIA." localSheetId="68" hidden="1">{#N/A,#N/A,TRUE,"INGENIERIA";#N/A,#N/A,TRUE,"COMPRAS";#N/A,#N/A,TRUE,"DIRECCION";#N/A,#N/A,TRUE,"RESUMEN"}</definedName>
    <definedName name="wrn.GERENCIA." localSheetId="64" hidden="1">{#N/A,#N/A,TRUE,"INGENIERIA";#N/A,#N/A,TRUE,"COMPRAS";#N/A,#N/A,TRUE,"DIRECCION";#N/A,#N/A,TRUE,"RESUMEN"}</definedName>
    <definedName name="wrn.GERENCIA." localSheetId="5" hidden="1">{#N/A,#N/A,TRUE,"INGENIERIA";#N/A,#N/A,TRUE,"COMPRAS";#N/A,#N/A,TRUE,"DIRECCION";#N/A,#N/A,TRUE,"RESUMEN"}</definedName>
    <definedName name="wrn.GERENCIA." localSheetId="63" hidden="1">{#N/A,#N/A,TRUE,"INGENIERIA";#N/A,#N/A,TRUE,"COMPRAS";#N/A,#N/A,TRUE,"DIRECCION";#N/A,#N/A,TRUE,"RESUMEN"}</definedName>
    <definedName name="wrn.GERENCIA." hidden="1">{#N/A,#N/A,TRUE,"INGENIERIA";#N/A,#N/A,TRUE,"COMPRAS";#N/A,#N/A,TRUE,"DIRECCION";#N/A,#N/A,TRUE,"RESUMEN"}</definedName>
    <definedName name="wrn.Restructuring._.Summaries." localSheetId="9" hidden="1">{#N/A,#N/A,TRUE,"Transaction Summary";#N/A,#N/A,TRUE,"Restructuring Sensitivities";#N/A,#N/A,TRUE,"DCF";#N/A,#N/A,TRUE,"IRR";#N/A,#N/A,TRUE,"Debt Capacity"}</definedName>
    <definedName name="wrn.Restructuring._.Summaries." localSheetId="69" hidden="1">{#N/A,#N/A,TRUE,"Transaction Summary";#N/A,#N/A,TRUE,"Restructuring Sensitivities";#N/A,#N/A,TRUE,"DCF";#N/A,#N/A,TRUE,"IRR";#N/A,#N/A,TRUE,"Debt Capacity"}</definedName>
    <definedName name="wrn.Restructuring._.Summaries." localSheetId="67" hidden="1">{#N/A,#N/A,TRUE,"Transaction Summary";#N/A,#N/A,TRUE,"Restructuring Sensitivities";#N/A,#N/A,TRUE,"DCF";#N/A,#N/A,TRUE,"IRR";#N/A,#N/A,TRUE,"Debt Capacity"}</definedName>
    <definedName name="wrn.Restructuring._.Summaries." localSheetId="4" hidden="1">{#N/A,#N/A,TRUE,"Transaction Summary";#N/A,#N/A,TRUE,"Restructuring Sensitivities";#N/A,#N/A,TRUE,"DCF";#N/A,#N/A,TRUE,"IRR";#N/A,#N/A,TRUE,"Debt Capacity"}</definedName>
    <definedName name="wrn.Restructuring._.Summaries." localSheetId="68" hidden="1">{#N/A,#N/A,TRUE,"Transaction Summary";#N/A,#N/A,TRUE,"Restructuring Sensitivities";#N/A,#N/A,TRUE,"DCF";#N/A,#N/A,TRUE,"IRR";#N/A,#N/A,TRUE,"Debt Capacity"}</definedName>
    <definedName name="wrn.Restructuring._.Summaries." localSheetId="64" hidden="1">{#N/A,#N/A,TRUE,"Transaction Summary";#N/A,#N/A,TRUE,"Restructuring Sensitivities";#N/A,#N/A,TRUE,"DCF";#N/A,#N/A,TRUE,"IRR";#N/A,#N/A,TRUE,"Debt Capacity"}</definedName>
    <definedName name="wrn.Restructuring._.Summaries." localSheetId="5" hidden="1">{#N/A,#N/A,TRUE,"Transaction Summary";#N/A,#N/A,TRUE,"Restructuring Sensitivities";#N/A,#N/A,TRUE,"DCF";#N/A,#N/A,TRUE,"IRR";#N/A,#N/A,TRUE,"Debt Capacity"}</definedName>
    <definedName name="wrn.Restructuring._.Summaries." localSheetId="63" hidden="1">{#N/A,#N/A,TRUE,"Transaction Summary";#N/A,#N/A,TRUE,"Restructuring Sensitivities";#N/A,#N/A,TRUE,"DCF";#N/A,#N/A,TRUE,"IRR";#N/A,#N/A,TRUE,"Debt Capacity"}</definedName>
    <definedName name="wrn.Restructuring._.Summaries." hidden="1">{#N/A,#N/A,TRUE,"Transaction Summary";#N/A,#N/A,TRUE,"Restructuring Sensitivities";#N/A,#N/A,TRUE,"DCF";#N/A,#N/A,TRUE,"IRR";#N/A,#N/A,TRUE,"Debt Capacity"}</definedName>
    <definedName name="wrn.Restructuring._.Summaries._1" localSheetId="9" hidden="1">{#N/A,#N/A,TRUE,"Transaction Summary";#N/A,#N/A,TRUE,"Restructuring Sensitivities";#N/A,#N/A,TRUE,"DCF";#N/A,#N/A,TRUE,"IRR";#N/A,#N/A,TRUE,"Debt Capacity"}</definedName>
    <definedName name="wrn.Restructuring._.Summaries._1" localSheetId="69" hidden="1">{#N/A,#N/A,TRUE,"Transaction Summary";#N/A,#N/A,TRUE,"Restructuring Sensitivities";#N/A,#N/A,TRUE,"DCF";#N/A,#N/A,TRUE,"IRR";#N/A,#N/A,TRUE,"Debt Capacity"}</definedName>
    <definedName name="wrn.Restructuring._.Summaries._1" localSheetId="67" hidden="1">{#N/A,#N/A,TRUE,"Transaction Summary";#N/A,#N/A,TRUE,"Restructuring Sensitivities";#N/A,#N/A,TRUE,"DCF";#N/A,#N/A,TRUE,"IRR";#N/A,#N/A,TRUE,"Debt Capacity"}</definedName>
    <definedName name="wrn.Restructuring._.Summaries._1" localSheetId="4" hidden="1">{#N/A,#N/A,TRUE,"Transaction Summary";#N/A,#N/A,TRUE,"Restructuring Sensitivities";#N/A,#N/A,TRUE,"DCF";#N/A,#N/A,TRUE,"IRR";#N/A,#N/A,TRUE,"Debt Capacity"}</definedName>
    <definedName name="wrn.Restructuring._.Summaries._1" localSheetId="68" hidden="1">{#N/A,#N/A,TRUE,"Transaction Summary";#N/A,#N/A,TRUE,"Restructuring Sensitivities";#N/A,#N/A,TRUE,"DCF";#N/A,#N/A,TRUE,"IRR";#N/A,#N/A,TRUE,"Debt Capacity"}</definedName>
    <definedName name="wrn.Restructuring._.Summaries._1" localSheetId="64" hidden="1">{#N/A,#N/A,TRUE,"Transaction Summary";#N/A,#N/A,TRUE,"Restructuring Sensitivities";#N/A,#N/A,TRUE,"DCF";#N/A,#N/A,TRUE,"IRR";#N/A,#N/A,TRUE,"Debt Capacity"}</definedName>
    <definedName name="wrn.Restructuring._.Summaries._1" localSheetId="5" hidden="1">{#N/A,#N/A,TRUE,"Transaction Summary";#N/A,#N/A,TRUE,"Restructuring Sensitivities";#N/A,#N/A,TRUE,"DCF";#N/A,#N/A,TRUE,"IRR";#N/A,#N/A,TRUE,"Debt Capacity"}</definedName>
    <definedName name="wrn.Restructuring._.Summaries._1" localSheetId="63" hidden="1">{#N/A,#N/A,TRUE,"Transaction Summary";#N/A,#N/A,TRUE,"Restructuring Sensitivities";#N/A,#N/A,TRUE,"DCF";#N/A,#N/A,TRUE,"IRR";#N/A,#N/A,TRUE,"Debt Capacity"}</definedName>
    <definedName name="wrn.Restructuring._.Summaries._1" hidden="1">{#N/A,#N/A,TRUE,"Transaction Summary";#N/A,#N/A,TRUE,"Restructuring Sensitivities";#N/A,#N/A,TRUE,"DCF";#N/A,#N/A,TRUE,"IRR";#N/A,#N/A,TRUE,"Debt Capacity"}</definedName>
    <definedName name="wrn.resumen." localSheetId="9" hidden="1">{"total",#N/A,FALSE,"TD 0% ";"total",#N/A,FALSE,"TD 12%";"total",#N/A,FALSE,"TD 10%"}</definedName>
    <definedName name="wrn.resumen." localSheetId="69" hidden="1">{"total",#N/A,FALSE,"TD 0% ";"total",#N/A,FALSE,"TD 12%";"total",#N/A,FALSE,"TD 10%"}</definedName>
    <definedName name="wrn.resumen." localSheetId="67" hidden="1">{"total",#N/A,FALSE,"TD 0% ";"total",#N/A,FALSE,"TD 12%";"total",#N/A,FALSE,"TD 10%"}</definedName>
    <definedName name="wrn.resumen." localSheetId="4" hidden="1">{"total",#N/A,FALSE,"TD 0% ";"total",#N/A,FALSE,"TD 12%";"total",#N/A,FALSE,"TD 10%"}</definedName>
    <definedName name="wrn.resumen." localSheetId="68" hidden="1">{"total",#N/A,FALSE,"TD 0% ";"total",#N/A,FALSE,"TD 12%";"total",#N/A,FALSE,"TD 10%"}</definedName>
    <definedName name="wrn.resumen." localSheetId="64" hidden="1">{"total",#N/A,FALSE,"TD 0% ";"total",#N/A,FALSE,"TD 12%";"total",#N/A,FALSE,"TD 10%"}</definedName>
    <definedName name="wrn.resumen." localSheetId="5" hidden="1">{"total",#N/A,FALSE,"TD 0% ";"total",#N/A,FALSE,"TD 12%";"total",#N/A,FALSE,"TD 10%"}</definedName>
    <definedName name="wrn.resumen." localSheetId="63" hidden="1">{"total",#N/A,FALSE,"TD 0% ";"total",#N/A,FALSE,"TD 12%";"total",#N/A,FALSE,"TD 10%"}</definedName>
    <definedName name="wrn.resumen." hidden="1">{"total",#N/A,FALSE,"TD 0% ";"total",#N/A,FALSE,"TD 12%";"total",#N/A,FALSE,"TD 10%"}</definedName>
    <definedName name="wrn.via." localSheetId="9" hidden="1">{"via1",#N/A,TRUE,"general";"via2",#N/A,TRUE,"general";"via3",#N/A,TRUE,"general"}</definedName>
    <definedName name="wrn.via." localSheetId="69" hidden="1">{"via1",#N/A,TRUE,"general";"via2",#N/A,TRUE,"general";"via3",#N/A,TRUE,"general"}</definedName>
    <definedName name="wrn.via." localSheetId="67" hidden="1">{"via1",#N/A,TRUE,"general";"via2",#N/A,TRUE,"general";"via3",#N/A,TRUE,"general"}</definedName>
    <definedName name="wrn.via." localSheetId="4" hidden="1">{"via1",#N/A,TRUE,"general";"via2",#N/A,TRUE,"general";"via3",#N/A,TRUE,"general"}</definedName>
    <definedName name="wrn.via." localSheetId="68" hidden="1">{"via1",#N/A,TRUE,"general";"via2",#N/A,TRUE,"general";"via3",#N/A,TRUE,"general"}</definedName>
    <definedName name="wrn.via." localSheetId="64" hidden="1">{"via1",#N/A,TRUE,"general";"via2",#N/A,TRUE,"general";"via3",#N/A,TRUE,"general"}</definedName>
    <definedName name="wrn.via." localSheetId="5" hidden="1">{"via1",#N/A,TRUE,"general";"via2",#N/A,TRUE,"general";"via3",#N/A,TRUE,"general"}</definedName>
    <definedName name="wrn.via." localSheetId="63" hidden="1">{"via1",#N/A,TRUE,"general";"via2",#N/A,TRUE,"general";"via3",#N/A,TRUE,"general"}</definedName>
    <definedName name="wrn.via." hidden="1">{"via1",#N/A,TRUE,"general";"via2",#N/A,TRUE,"general";"via3",#N/A,TRUE,"general"}</definedName>
    <definedName name="wrn.via._1" localSheetId="9" hidden="1">{"via1",#N/A,TRUE,"general";"via2",#N/A,TRUE,"general";"via3",#N/A,TRUE,"general"}</definedName>
    <definedName name="wrn.via._1" localSheetId="69" hidden="1">{"via1",#N/A,TRUE,"general";"via2",#N/A,TRUE,"general";"via3",#N/A,TRUE,"general"}</definedName>
    <definedName name="wrn.via._1" localSheetId="67" hidden="1">{"via1",#N/A,TRUE,"general";"via2",#N/A,TRUE,"general";"via3",#N/A,TRUE,"general"}</definedName>
    <definedName name="wrn.via._1" localSheetId="4" hidden="1">{"via1",#N/A,TRUE,"general";"via2",#N/A,TRUE,"general";"via3",#N/A,TRUE,"general"}</definedName>
    <definedName name="wrn.via._1" localSheetId="68" hidden="1">{"via1",#N/A,TRUE,"general";"via2",#N/A,TRUE,"general";"via3",#N/A,TRUE,"general"}</definedName>
    <definedName name="wrn.via._1" localSheetId="64" hidden="1">{"via1",#N/A,TRUE,"general";"via2",#N/A,TRUE,"general";"via3",#N/A,TRUE,"general"}</definedName>
    <definedName name="wrn.via._1" localSheetId="5" hidden="1">{"via1",#N/A,TRUE,"general";"via2",#N/A,TRUE,"general";"via3",#N/A,TRUE,"general"}</definedName>
    <definedName name="wrn.via._1" localSheetId="63" hidden="1">{"via1",#N/A,TRUE,"general";"via2",#N/A,TRUE,"general";"via3",#N/A,TRUE,"general"}</definedName>
    <definedName name="wrn.via._1" hidden="1">{"via1",#N/A,TRUE,"general";"via2",#N/A,TRUE,"general";"via3",#N/A,TRUE,"general"}</definedName>
    <definedName name="XXXXX"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6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6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6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6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6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X" localSheetId="9" hidden="1">{#N/A,#N/A,TRUE,"INGENIERIA";#N/A,#N/A,TRUE,"COMPRAS";#N/A,#N/A,TRUE,"DIRECCION";#N/A,#N/A,TRUE,"RESUMEN"}</definedName>
    <definedName name="XXXXXX" localSheetId="69" hidden="1">{#N/A,#N/A,TRUE,"INGENIERIA";#N/A,#N/A,TRUE,"COMPRAS";#N/A,#N/A,TRUE,"DIRECCION";#N/A,#N/A,TRUE,"RESUMEN"}</definedName>
    <definedName name="XXXXXX" localSheetId="67" hidden="1">{#N/A,#N/A,TRUE,"INGENIERIA";#N/A,#N/A,TRUE,"COMPRAS";#N/A,#N/A,TRUE,"DIRECCION";#N/A,#N/A,TRUE,"RESUMEN"}</definedName>
    <definedName name="XXXXXX" localSheetId="4" hidden="1">{#N/A,#N/A,TRUE,"INGENIERIA";#N/A,#N/A,TRUE,"COMPRAS";#N/A,#N/A,TRUE,"DIRECCION";#N/A,#N/A,TRUE,"RESUMEN"}</definedName>
    <definedName name="XXXXXX" localSheetId="68" hidden="1">{#N/A,#N/A,TRUE,"INGENIERIA";#N/A,#N/A,TRUE,"COMPRAS";#N/A,#N/A,TRUE,"DIRECCION";#N/A,#N/A,TRUE,"RESUMEN"}</definedName>
    <definedName name="XXXXXX" localSheetId="64" hidden="1">{#N/A,#N/A,TRUE,"INGENIERIA";#N/A,#N/A,TRUE,"COMPRAS";#N/A,#N/A,TRUE,"DIRECCION";#N/A,#N/A,TRUE,"RESUMEN"}</definedName>
    <definedName name="XXXXXX" localSheetId="5" hidden="1">{#N/A,#N/A,TRUE,"INGENIERIA";#N/A,#N/A,TRUE,"COMPRAS";#N/A,#N/A,TRUE,"DIRECCION";#N/A,#N/A,TRUE,"RESUMEN"}</definedName>
    <definedName name="XXXXXX" localSheetId="63" hidden="1">{#N/A,#N/A,TRUE,"INGENIERIA";#N/A,#N/A,TRUE,"COMPRAS";#N/A,#N/A,TRUE,"DIRECCION";#N/A,#N/A,TRUE,"RESUMEN"}</definedName>
    <definedName name="XXXXXX" hidden="1">{#N/A,#N/A,TRUE,"INGENIERIA";#N/A,#N/A,TRUE,"COMPRAS";#N/A,#N/A,TRUE,"DIRECCION";#N/A,#N/A,TRUE,"RESUMEN"}</definedName>
    <definedName name="xyz" localSheetId="9" hidden="1">#REF!</definedName>
    <definedName name="xyz" localSheetId="69" hidden="1">#REF!</definedName>
    <definedName name="xyz" localSheetId="67" hidden="1">#REF!</definedName>
    <definedName name="xyz" localSheetId="4" hidden="1">#REF!</definedName>
    <definedName name="xyz" localSheetId="63" hidden="1">#REF!</definedName>
    <definedName name="xyz" hidden="1">#REF!</definedName>
    <definedName name="yyyyyy" localSheetId="9" hidden="1">#REF!</definedName>
    <definedName name="yyyyyy" localSheetId="69" hidden="1">[2]MI!#REF!</definedName>
    <definedName name="yyyyyy" localSheetId="67" hidden="1">#REF!</definedName>
    <definedName name="yyyyyy" localSheetId="4" hidden="1">#REF!</definedName>
    <definedName name="yyyyyy" localSheetId="63" hidden="1">#REF!</definedName>
    <definedName name="yyyyyy" hidden="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3" i="5" l="1"/>
  <c r="G36" i="117" l="1"/>
  <c r="G31" i="117"/>
  <c r="G27" i="117"/>
  <c r="G19" i="117"/>
  <c r="G8" i="117"/>
  <c r="C34" i="93"/>
  <c r="C33" i="93"/>
  <c r="G33" i="93" s="1"/>
  <c r="H28" i="63" s="1"/>
  <c r="N28" i="63" s="1"/>
  <c r="F27" i="93"/>
  <c r="D21" i="93"/>
  <c r="G21" i="93" s="1"/>
  <c r="G23" i="93" s="1"/>
  <c r="F28" i="63" s="1"/>
  <c r="A1" i="63"/>
  <c r="A2" i="63"/>
  <c r="A5" i="63"/>
  <c r="B5" i="63"/>
  <c r="E6" i="63"/>
  <c r="F6" i="63"/>
  <c r="G6" i="63"/>
  <c r="M6" i="63" s="1"/>
  <c r="K6" i="63"/>
  <c r="E7" i="63"/>
  <c r="F7" i="63"/>
  <c r="G7" i="63"/>
  <c r="M7" i="63" s="1"/>
  <c r="K7" i="63"/>
  <c r="E8" i="63"/>
  <c r="F8" i="63"/>
  <c r="L8" i="63" s="1"/>
  <c r="G8" i="63"/>
  <c r="M8" i="63" s="1"/>
  <c r="E9" i="63"/>
  <c r="F9" i="63"/>
  <c r="G9" i="63"/>
  <c r="M9" i="63" s="1"/>
  <c r="K9" i="63"/>
  <c r="E10" i="63"/>
  <c r="F10" i="63"/>
  <c r="L10" i="63" s="1"/>
  <c r="G10" i="63"/>
  <c r="M10" i="63" s="1"/>
  <c r="E11" i="63"/>
  <c r="F11" i="63"/>
  <c r="L11" i="63" s="1"/>
  <c r="G11" i="63"/>
  <c r="M11" i="63" s="1"/>
  <c r="E12" i="63"/>
  <c r="F12" i="63"/>
  <c r="L12" i="63" s="1"/>
  <c r="G12" i="63"/>
  <c r="M12" i="63" s="1"/>
  <c r="E13" i="63"/>
  <c r="F13" i="63"/>
  <c r="L13" i="63" s="1"/>
  <c r="G13" i="63"/>
  <c r="M13" i="63" s="1"/>
  <c r="E14" i="63"/>
  <c r="F14" i="63"/>
  <c r="L14" i="63" s="1"/>
  <c r="G14" i="63"/>
  <c r="M14" i="63" s="1"/>
  <c r="E15" i="63"/>
  <c r="F15" i="63"/>
  <c r="L15" i="63" s="1"/>
  <c r="G15" i="63"/>
  <c r="M15" i="63" s="1"/>
  <c r="E16" i="63"/>
  <c r="F16" i="63"/>
  <c r="L16" i="63" s="1"/>
  <c r="G16" i="63"/>
  <c r="M16" i="63" s="1"/>
  <c r="E17" i="63"/>
  <c r="F17" i="63"/>
  <c r="L17" i="63" s="1"/>
  <c r="G17" i="63"/>
  <c r="M17" i="63" s="1"/>
  <c r="E18" i="63"/>
  <c r="F18" i="63"/>
  <c r="L18" i="63" s="1"/>
  <c r="G18" i="63"/>
  <c r="M18" i="63" s="1"/>
  <c r="E19" i="63"/>
  <c r="F19" i="63"/>
  <c r="L19" i="63" s="1"/>
  <c r="G19" i="63"/>
  <c r="M19" i="63" s="1"/>
  <c r="A20" i="63"/>
  <c r="B20" i="63"/>
  <c r="E21" i="63"/>
  <c r="F21" i="63"/>
  <c r="G21" i="63"/>
  <c r="E22" i="63"/>
  <c r="F22" i="63"/>
  <c r="G22" i="63"/>
  <c r="E23" i="63"/>
  <c r="F23" i="63"/>
  <c r="G23" i="63"/>
  <c r="M23" i="63" s="1"/>
  <c r="E24" i="63"/>
  <c r="F24" i="63"/>
  <c r="G24" i="63"/>
  <c r="H24" i="63"/>
  <c r="E25" i="63"/>
  <c r="F25" i="63"/>
  <c r="L25" i="63" s="1"/>
  <c r="G25" i="63"/>
  <c r="M25" i="63" s="1"/>
  <c r="E26" i="63"/>
  <c r="F26" i="63"/>
  <c r="G26" i="63"/>
  <c r="E27" i="63"/>
  <c r="K27" i="63" s="1"/>
  <c r="F27" i="63"/>
  <c r="L27" i="63" s="1"/>
  <c r="G27" i="63"/>
  <c r="M27" i="63" s="1"/>
  <c r="E29" i="63"/>
  <c r="K29" i="63" s="1"/>
  <c r="F29" i="63"/>
  <c r="L29" i="63" s="1"/>
  <c r="G29" i="63"/>
  <c r="M29" i="63" s="1"/>
  <c r="E30" i="63"/>
  <c r="K30" i="63" s="1"/>
  <c r="F30" i="63"/>
  <c r="L30" i="63" s="1"/>
  <c r="G30" i="63"/>
  <c r="M30" i="63" s="1"/>
  <c r="E31" i="63"/>
  <c r="K31" i="63" s="1"/>
  <c r="F31" i="63"/>
  <c r="L31" i="63" s="1"/>
  <c r="G31" i="63"/>
  <c r="M31" i="63" s="1"/>
  <c r="E32" i="63"/>
  <c r="K32" i="63" s="1"/>
  <c r="F32" i="63"/>
  <c r="L32" i="63" s="1"/>
  <c r="G32" i="63"/>
  <c r="M32" i="63" s="1"/>
  <c r="A33" i="63"/>
  <c r="B33" i="63"/>
  <c r="E34" i="63"/>
  <c r="F34" i="63"/>
  <c r="L34" i="63" s="1"/>
  <c r="G34" i="63"/>
  <c r="M34" i="63" s="1"/>
  <c r="A35" i="63"/>
  <c r="B35" i="63"/>
  <c r="E36" i="63"/>
  <c r="F36" i="63"/>
  <c r="G36" i="63"/>
  <c r="L36" i="63"/>
  <c r="M36" i="63"/>
  <c r="E37" i="63"/>
  <c r="F37" i="63"/>
  <c r="G37" i="63"/>
  <c r="L37" i="63"/>
  <c r="M37" i="63"/>
  <c r="A38" i="63"/>
  <c r="B38" i="63"/>
  <c r="E39" i="63"/>
  <c r="F39" i="63"/>
  <c r="G39" i="63"/>
  <c r="K39" i="63"/>
  <c r="L39" i="63"/>
  <c r="M39" i="63"/>
  <c r="K82" i="93"/>
  <c r="K81" i="93"/>
  <c r="K80" i="93"/>
  <c r="K79" i="93"/>
  <c r="K78" i="93"/>
  <c r="K77" i="93"/>
  <c r="K83" i="93" s="1"/>
  <c r="K84" i="93" s="1"/>
  <c r="D12" i="93" s="1"/>
  <c r="M67" i="93"/>
  <c r="M68" i="93" s="1"/>
  <c r="D11" i="93" s="1"/>
  <c r="N61" i="93"/>
  <c r="O61" i="93" s="1"/>
  <c r="L61" i="93"/>
  <c r="K61" i="93"/>
  <c r="K60" i="93"/>
  <c r="N60" i="93" s="1"/>
  <c r="O60" i="93" s="1"/>
  <c r="K53" i="93"/>
  <c r="K52" i="93"/>
  <c r="K51" i="93"/>
  <c r="K50" i="93"/>
  <c r="K54" i="93" s="1"/>
  <c r="K55" i="93" s="1"/>
  <c r="K56" i="93" s="1"/>
  <c r="K49" i="93"/>
  <c r="K48" i="93"/>
  <c r="K39" i="93"/>
  <c r="K38" i="93"/>
  <c r="K36" i="93"/>
  <c r="K35" i="93"/>
  <c r="K34" i="93"/>
  <c r="K40" i="93" s="1"/>
  <c r="K41" i="93" s="1"/>
  <c r="K42" i="93" s="1"/>
  <c r="D34" i="93"/>
  <c r="G34" i="93"/>
  <c r="I28" i="63" s="1"/>
  <c r="O28" i="63" s="1"/>
  <c r="B34" i="93"/>
  <c r="F33" i="93"/>
  <c r="F34" i="93" s="1"/>
  <c r="D33" i="93"/>
  <c r="B33" i="93"/>
  <c r="K28" i="93"/>
  <c r="B27" i="93"/>
  <c r="K26" i="93"/>
  <c r="K25" i="93"/>
  <c r="K24" i="93"/>
  <c r="K23" i="93"/>
  <c r="K27" i="93" s="1"/>
  <c r="K29" i="93" s="1"/>
  <c r="K30" i="93" s="1"/>
  <c r="D8" i="93" s="1"/>
  <c r="K22" i="93"/>
  <c r="K21" i="93"/>
  <c r="C21" i="93"/>
  <c r="B21" i="93"/>
  <c r="O16" i="93"/>
  <c r="G16" i="93"/>
  <c r="E16" i="93"/>
  <c r="G15" i="93"/>
  <c r="E15" i="93"/>
  <c r="G14" i="93"/>
  <c r="E14" i="93"/>
  <c r="C14" i="93"/>
  <c r="B14" i="93"/>
  <c r="G13" i="93"/>
  <c r="E13" i="93"/>
  <c r="C13" i="93"/>
  <c r="B13" i="93"/>
  <c r="D10" i="93"/>
  <c r="G10" i="93" s="1"/>
  <c r="C10" i="93"/>
  <c r="B10" i="93"/>
  <c r="C9" i="93"/>
  <c r="B9" i="93"/>
  <c r="G4" i="93"/>
  <c r="B4" i="93"/>
  <c r="C3" i="93"/>
  <c r="B1" i="93"/>
  <c r="F193" i="118"/>
  <c r="F192" i="118"/>
  <c r="F194" i="118" s="1"/>
  <c r="F187" i="118"/>
  <c r="F188" i="118" s="1"/>
  <c r="D183" i="118"/>
  <c r="C183" i="118"/>
  <c r="F183" i="118" s="1"/>
  <c r="C182" i="118"/>
  <c r="F182" i="118" s="1"/>
  <c r="F181" i="118"/>
  <c r="F180" i="118"/>
  <c r="F179" i="118"/>
  <c r="F178" i="118"/>
  <c r="F177" i="118"/>
  <c r="F176" i="118"/>
  <c r="F175" i="118"/>
  <c r="D173" i="118"/>
  <c r="F173" i="118" s="1"/>
  <c r="C172" i="118"/>
  <c r="F172" i="118" s="1"/>
  <c r="F171" i="118"/>
  <c r="F170" i="118"/>
  <c r="F165" i="118"/>
  <c r="G160" i="118"/>
  <c r="H160" i="118" s="1"/>
  <c r="G159" i="118"/>
  <c r="H159" i="118" s="1"/>
  <c r="F158" i="118"/>
  <c r="H158" i="118" s="1"/>
  <c r="F157" i="118"/>
  <c r="H157" i="118" s="1"/>
  <c r="G156" i="118"/>
  <c r="H156" i="118" s="1"/>
  <c r="G155" i="118"/>
  <c r="H155" i="118" s="1"/>
  <c r="G154" i="118"/>
  <c r="H154" i="118" s="1"/>
  <c r="G153" i="118"/>
  <c r="H153" i="118" s="1"/>
  <c r="G152" i="118"/>
  <c r="H152" i="118" s="1"/>
  <c r="H151" i="118"/>
  <c r="H150" i="118"/>
  <c r="G149" i="118"/>
  <c r="H149" i="118" s="1"/>
  <c r="H148" i="118"/>
  <c r="H147" i="118"/>
  <c r="G136" i="118"/>
  <c r="G137" i="118" s="1"/>
  <c r="C130" i="118"/>
  <c r="C129" i="118"/>
  <c r="C128" i="118"/>
  <c r="C127" i="118"/>
  <c r="G125" i="118"/>
  <c r="G124" i="118"/>
  <c r="G119" i="118"/>
  <c r="G118" i="118"/>
  <c r="F117" i="118"/>
  <c r="D117" i="118"/>
  <c r="G117" i="118" s="1"/>
  <c r="G120" i="118" s="1"/>
  <c r="G106" i="118"/>
  <c r="G105" i="118"/>
  <c r="F104" i="118"/>
  <c r="G104" i="118" s="1"/>
  <c r="G103" i="118"/>
  <c r="G107" i="118" s="1"/>
  <c r="G90" i="118"/>
  <c r="G89" i="118"/>
  <c r="F88" i="118"/>
  <c r="G88" i="118" s="1"/>
  <c r="G87" i="118"/>
  <c r="G91" i="118" s="1"/>
  <c r="G82" i="118"/>
  <c r="G81" i="118"/>
  <c r="G80" i="118"/>
  <c r="G79" i="118"/>
  <c r="F79" i="118"/>
  <c r="F78" i="118"/>
  <c r="G78" i="118" s="1"/>
  <c r="G77" i="118"/>
  <c r="F76" i="118"/>
  <c r="G76" i="118" s="1"/>
  <c r="G83" i="118" s="1"/>
  <c r="G75" i="118"/>
  <c r="D70" i="118"/>
  <c r="F70" i="118" s="1"/>
  <c r="F69" i="118"/>
  <c r="F68" i="118"/>
  <c r="F71" i="118" s="1"/>
  <c r="F67" i="118"/>
  <c r="D62" i="118"/>
  <c r="F62" i="118" s="1"/>
  <c r="F61" i="118"/>
  <c r="F60" i="118"/>
  <c r="F59" i="118"/>
  <c r="F63" i="118" s="1"/>
  <c r="C51" i="118"/>
  <c r="F51" i="118" s="1"/>
  <c r="C50" i="118"/>
  <c r="F50" i="118" s="1"/>
  <c r="F49" i="118"/>
  <c r="C49" i="118"/>
  <c r="D48" i="118"/>
  <c r="C48" i="118"/>
  <c r="F48" i="118" s="1"/>
  <c r="C47" i="118"/>
  <c r="F47" i="118" s="1"/>
  <c r="F46" i="118"/>
  <c r="F45" i="118"/>
  <c r="F44" i="118"/>
  <c r="F33" i="118"/>
  <c r="E33" i="118"/>
  <c r="D33" i="118"/>
  <c r="D34" i="118" s="1"/>
  <c r="D22" i="118"/>
  <c r="E22" i="118" s="1"/>
  <c r="D21" i="118"/>
  <c r="E21" i="118" s="1"/>
  <c r="B12" i="118"/>
  <c r="D12" i="118" s="1"/>
  <c r="E12" i="118" s="1"/>
  <c r="E9" i="118"/>
  <c r="D9" i="118"/>
  <c r="A1" i="118"/>
  <c r="L21" i="63" l="1"/>
  <c r="K21" i="63"/>
  <c r="M24" i="63"/>
  <c r="L28" i="63"/>
  <c r="L26" i="63"/>
  <c r="L24" i="63"/>
  <c r="L22" i="63"/>
  <c r="M21" i="63"/>
  <c r="L23" i="63"/>
  <c r="K25" i="63"/>
  <c r="K23" i="63"/>
  <c r="N24" i="63"/>
  <c r="M26" i="63"/>
  <c r="M22" i="63"/>
  <c r="K26" i="63"/>
  <c r="K24" i="63"/>
  <c r="K22" i="63"/>
  <c r="L9" i="63"/>
  <c r="L7" i="63"/>
  <c r="L6" i="63"/>
  <c r="K19" i="63"/>
  <c r="K18" i="63"/>
  <c r="K17" i="63"/>
  <c r="K16" i="63"/>
  <c r="K15" i="63"/>
  <c r="K14" i="63"/>
  <c r="K13" i="63"/>
  <c r="K12" i="63"/>
  <c r="K11" i="63"/>
  <c r="K10" i="63"/>
  <c r="K8" i="63"/>
  <c r="K37" i="63"/>
  <c r="K36" i="63"/>
  <c r="K34" i="63"/>
  <c r="G8" i="93"/>
  <c r="E8" i="93"/>
  <c r="D9" i="93"/>
  <c r="E11" i="93"/>
  <c r="G11" i="93"/>
  <c r="G12" i="93"/>
  <c r="E12" i="93"/>
  <c r="G35" i="93"/>
  <c r="E10" i="93"/>
  <c r="C17" i="118"/>
  <c r="C14" i="118"/>
  <c r="C16" i="118"/>
  <c r="C15" i="118"/>
  <c r="E23" i="118"/>
  <c r="C112" i="118"/>
  <c r="C110" i="118"/>
  <c r="C111" i="118"/>
  <c r="C109" i="118"/>
  <c r="F52" i="118"/>
  <c r="F184" i="118"/>
  <c r="C141" i="118"/>
  <c r="C140" i="118"/>
  <c r="C142" i="118"/>
  <c r="C139" i="118"/>
  <c r="H161" i="118"/>
  <c r="G92" i="118"/>
  <c r="G93" i="118"/>
  <c r="C99" i="118" s="1"/>
  <c r="G33" i="118"/>
  <c r="L40" i="63" l="1"/>
  <c r="E9" i="93"/>
  <c r="G9" i="93"/>
  <c r="G17" i="93" s="1"/>
  <c r="D27" i="93"/>
  <c r="G27" i="93" s="1"/>
  <c r="G29" i="93" s="1"/>
  <c r="G28" i="63" s="1"/>
  <c r="M28" i="63" s="1"/>
  <c r="M40" i="63" s="1"/>
  <c r="C98" i="118"/>
  <c r="C97" i="118"/>
  <c r="C96" i="118"/>
  <c r="C95" i="118"/>
  <c r="C28" i="118"/>
  <c r="C40" i="118" s="1"/>
  <c r="C27" i="118"/>
  <c r="C26" i="118"/>
  <c r="C25" i="118"/>
  <c r="C38" i="118"/>
  <c r="C39" i="118"/>
  <c r="C37" i="118"/>
  <c r="G37" i="93" l="1"/>
  <c r="E28" i="63"/>
  <c r="J28" i="63" l="1"/>
  <c r="P28" i="63" s="1"/>
  <c r="K28" i="63"/>
  <c r="K40" i="63" s="1"/>
  <c r="F32" i="78" l="1"/>
  <c r="D19" i="110"/>
  <c r="F26" i="110"/>
  <c r="E30" i="6"/>
  <c r="E31" i="6"/>
  <c r="E8" i="7"/>
  <c r="F8" i="7"/>
  <c r="G8" i="7" s="1"/>
  <c r="E9" i="7"/>
  <c r="F9" i="7"/>
  <c r="G9" i="7" s="1"/>
  <c r="E10" i="7"/>
  <c r="F10" i="7"/>
  <c r="G10" i="7" s="1"/>
  <c r="E11" i="7"/>
  <c r="F11" i="7"/>
  <c r="G11" i="7" s="1"/>
  <c r="F12" i="7"/>
  <c r="G12" i="7" s="1"/>
  <c r="F13" i="7"/>
  <c r="D18" i="7"/>
  <c r="G18" i="7" s="1"/>
  <c r="F18" i="7"/>
  <c r="F40" i="78" l="1"/>
  <c r="F39" i="78"/>
  <c r="P40" i="5"/>
  <c r="G37" i="117"/>
  <c r="F54" i="111"/>
  <c r="F55" i="111"/>
  <c r="F56" i="111"/>
  <c r="F57" i="111"/>
  <c r="F58" i="111"/>
  <c r="F59" i="111"/>
  <c r="F60" i="111"/>
  <c r="F61" i="111"/>
  <c r="F63" i="111"/>
  <c r="F64" i="111"/>
  <c r="F65" i="111"/>
  <c r="F66" i="111"/>
  <c r="F51" i="111"/>
  <c r="F50" i="111"/>
  <c r="F49" i="111"/>
  <c r="F48" i="111"/>
  <c r="F47" i="111"/>
  <c r="F45" i="111"/>
  <c r="F44" i="111"/>
  <c r="F42" i="111"/>
  <c r="F41" i="111"/>
  <c r="F40" i="111"/>
  <c r="F38" i="111"/>
  <c r="F37" i="111"/>
  <c r="F34" i="111"/>
  <c r="F33" i="111"/>
  <c r="F32" i="111"/>
  <c r="F31" i="111"/>
  <c r="G30" i="111" s="1"/>
  <c r="F29" i="111"/>
  <c r="F28" i="111"/>
  <c r="F27" i="111"/>
  <c r="F26" i="111"/>
  <c r="F25" i="111"/>
  <c r="F23" i="111"/>
  <c r="F22" i="111"/>
  <c r="F21" i="111"/>
  <c r="F19" i="111"/>
  <c r="F18" i="111"/>
  <c r="G17" i="111" s="1"/>
  <c r="F16" i="111"/>
  <c r="F15" i="111"/>
  <c r="F14" i="111"/>
  <c r="F13" i="111"/>
  <c r="F12" i="111"/>
  <c r="F10" i="111"/>
  <c r="F9" i="111"/>
  <c r="F8" i="111"/>
  <c r="F7" i="111"/>
  <c r="D7" i="32"/>
  <c r="E7" i="32"/>
  <c r="D19" i="75" s="1"/>
  <c r="F7" i="32"/>
  <c r="G7" i="32"/>
  <c r="H7" i="32"/>
  <c r="I7" i="32"/>
  <c r="C7" i="32"/>
  <c r="J6" i="32"/>
  <c r="K6" i="32" s="1"/>
  <c r="J5" i="32"/>
  <c r="K5" i="32" s="1"/>
  <c r="D20" i="71"/>
  <c r="D19" i="71"/>
  <c r="D15" i="70"/>
  <c r="D12" i="70"/>
  <c r="D11" i="70"/>
  <c r="D17" i="116"/>
  <c r="E17" i="116" s="1"/>
  <c r="D12" i="116"/>
  <c r="D11" i="116"/>
  <c r="B9" i="116"/>
  <c r="C9" i="116"/>
  <c r="E9" i="116"/>
  <c r="B10" i="116"/>
  <c r="C10" i="116"/>
  <c r="E10" i="116"/>
  <c r="B11" i="116"/>
  <c r="C11" i="116"/>
  <c r="E11" i="116"/>
  <c r="F11" i="116"/>
  <c r="G11" i="116" s="1"/>
  <c r="B12" i="116"/>
  <c r="C12" i="116"/>
  <c r="E12" i="116"/>
  <c r="B13" i="116"/>
  <c r="C13" i="116"/>
  <c r="B14" i="116"/>
  <c r="C14" i="116"/>
  <c r="E14" i="116"/>
  <c r="G4" i="116"/>
  <c r="B4" i="116"/>
  <c r="C3" i="116"/>
  <c r="B37" i="116"/>
  <c r="B36" i="116"/>
  <c r="B29" i="116"/>
  <c r="F36" i="116"/>
  <c r="C22" i="116"/>
  <c r="B22" i="116"/>
  <c r="F17" i="116"/>
  <c r="C17" i="116"/>
  <c r="B17" i="116"/>
  <c r="E16" i="116"/>
  <c r="C16" i="116"/>
  <c r="B16" i="116"/>
  <c r="E15" i="116"/>
  <c r="C15" i="116"/>
  <c r="B15" i="116"/>
  <c r="E8" i="116"/>
  <c r="C8" i="116"/>
  <c r="B8" i="116"/>
  <c r="B1" i="116"/>
  <c r="D12" i="69"/>
  <c r="D11" i="69"/>
  <c r="D23" i="68"/>
  <c r="E23" i="68" s="1"/>
  <c r="D22" i="68"/>
  <c r="E22" i="68" s="1"/>
  <c r="D21" i="68"/>
  <c r="E21" i="68" s="1"/>
  <c r="D18" i="68"/>
  <c r="D17" i="68"/>
  <c r="D16" i="68"/>
  <c r="E16" i="68" s="1"/>
  <c r="B16" i="68"/>
  <c r="C16" i="68"/>
  <c r="F16" i="68"/>
  <c r="B17" i="68"/>
  <c r="C17" i="68"/>
  <c r="E17" i="68"/>
  <c r="F17" i="68"/>
  <c r="B18" i="68"/>
  <c r="C18" i="68"/>
  <c r="E18" i="68"/>
  <c r="B19" i="68"/>
  <c r="C19" i="68"/>
  <c r="E19" i="68"/>
  <c r="B20" i="68"/>
  <c r="C20" i="68"/>
  <c r="E20" i="68"/>
  <c r="B21" i="68"/>
  <c r="C21" i="68"/>
  <c r="F21" i="68"/>
  <c r="B22" i="68"/>
  <c r="C22" i="68"/>
  <c r="F22" i="68"/>
  <c r="B23" i="68"/>
  <c r="C23" i="68"/>
  <c r="D25" i="66"/>
  <c r="D24" i="66"/>
  <c r="D23" i="66"/>
  <c r="D22" i="66"/>
  <c r="D21" i="66"/>
  <c r="D14" i="67"/>
  <c r="D13" i="67"/>
  <c r="D12" i="67"/>
  <c r="F23" i="115"/>
  <c r="G23" i="115" s="1"/>
  <c r="F23" i="68"/>
  <c r="F9" i="116"/>
  <c r="G9" i="116" s="1"/>
  <c r="F21" i="115"/>
  <c r="G21" i="115" s="1"/>
  <c r="F20" i="115"/>
  <c r="G20" i="115" s="1"/>
  <c r="E136" i="10"/>
  <c r="F22" i="115"/>
  <c r="G22" i="115" s="1"/>
  <c r="F13" i="115"/>
  <c r="F38" i="115"/>
  <c r="F53" i="115" s="1"/>
  <c r="B33" i="115"/>
  <c r="B32" i="115"/>
  <c r="B31" i="115"/>
  <c r="B29" i="115"/>
  <c r="B27" i="115"/>
  <c r="D33" i="115"/>
  <c r="D32" i="115"/>
  <c r="E32" i="115" s="1"/>
  <c r="D31" i="115"/>
  <c r="E31" i="115" s="1"/>
  <c r="D30" i="115"/>
  <c r="E30" i="115" s="1"/>
  <c r="D29" i="115"/>
  <c r="D28" i="115"/>
  <c r="D27" i="115"/>
  <c r="D26" i="115"/>
  <c r="E26" i="115" s="1"/>
  <c r="D15" i="115"/>
  <c r="E15" i="115" s="1"/>
  <c r="B15" i="115"/>
  <c r="C15" i="115"/>
  <c r="B16" i="115"/>
  <c r="C16" i="115"/>
  <c r="E16" i="115"/>
  <c r="B17" i="115"/>
  <c r="C17" i="115"/>
  <c r="E17" i="115"/>
  <c r="B18" i="115"/>
  <c r="C18" i="115"/>
  <c r="E18" i="115"/>
  <c r="B19" i="115"/>
  <c r="C19" i="115"/>
  <c r="E19" i="115"/>
  <c r="B20" i="115"/>
  <c r="C20" i="115"/>
  <c r="E20" i="115"/>
  <c r="B21" i="115"/>
  <c r="C21" i="115"/>
  <c r="E21" i="115"/>
  <c r="B22" i="115"/>
  <c r="C22" i="115"/>
  <c r="E22" i="115"/>
  <c r="B23" i="115"/>
  <c r="C23" i="115"/>
  <c r="E23" i="115"/>
  <c r="B24" i="115"/>
  <c r="C24" i="115"/>
  <c r="E24" i="115"/>
  <c r="B25" i="115"/>
  <c r="C25" i="115"/>
  <c r="E25" i="115"/>
  <c r="B26" i="115"/>
  <c r="C26" i="115"/>
  <c r="C27" i="115"/>
  <c r="B28" i="115"/>
  <c r="C28" i="115"/>
  <c r="C29" i="115"/>
  <c r="E29" i="115"/>
  <c r="B30" i="115"/>
  <c r="C30" i="115"/>
  <c r="C31" i="115"/>
  <c r="C32" i="115"/>
  <c r="C33" i="115"/>
  <c r="E33" i="115"/>
  <c r="G4" i="115"/>
  <c r="B4" i="115"/>
  <c r="C3" i="115"/>
  <c r="B53" i="115"/>
  <c r="B52" i="115"/>
  <c r="B45" i="115"/>
  <c r="C38" i="115"/>
  <c r="B38" i="115"/>
  <c r="E14" i="115"/>
  <c r="C14" i="115"/>
  <c r="B14" i="115"/>
  <c r="C13" i="115"/>
  <c r="B13" i="115"/>
  <c r="E12" i="115"/>
  <c r="C12" i="115"/>
  <c r="B12" i="115"/>
  <c r="E11" i="115"/>
  <c r="C11" i="115"/>
  <c r="B11" i="115"/>
  <c r="E10" i="115"/>
  <c r="C10" i="115"/>
  <c r="B10" i="115"/>
  <c r="C9" i="115"/>
  <c r="B9" i="115"/>
  <c r="E8" i="115"/>
  <c r="C8" i="115"/>
  <c r="B8" i="115"/>
  <c r="B1" i="115"/>
  <c r="D15" i="65"/>
  <c r="D14" i="65"/>
  <c r="D13" i="65"/>
  <c r="D12" i="65"/>
  <c r="D11" i="65"/>
  <c r="D10" i="65"/>
  <c r="D9" i="65"/>
  <c r="D8" i="65"/>
  <c r="D14" i="64"/>
  <c r="E27" i="115" l="1"/>
  <c r="E12" i="7"/>
  <c r="G22" i="68"/>
  <c r="F29" i="115"/>
  <c r="G29" i="115" s="1"/>
  <c r="F12" i="116"/>
  <c r="G12" i="116" s="1"/>
  <c r="F27" i="115"/>
  <c r="G27" i="115" s="1"/>
  <c r="F28" i="115"/>
  <c r="G28" i="115" s="1"/>
  <c r="G23" i="68"/>
  <c r="D16" i="75"/>
  <c r="D17" i="75"/>
  <c r="G11" i="111"/>
  <c r="D18" i="75"/>
  <c r="G46" i="111"/>
  <c r="G16" i="68"/>
  <c r="G52" i="111"/>
  <c r="K7" i="32"/>
  <c r="G20" i="111"/>
  <c r="G7" i="111"/>
  <c r="G24" i="111"/>
  <c r="G35" i="111"/>
  <c r="J7" i="32"/>
  <c r="G17" i="116"/>
  <c r="F37" i="116"/>
  <c r="G21" i="68"/>
  <c r="G17" i="68"/>
  <c r="F31" i="115"/>
  <c r="G31" i="115" s="1"/>
  <c r="F30" i="115"/>
  <c r="G30" i="115" s="1"/>
  <c r="F33" i="115"/>
  <c r="G33" i="115" s="1"/>
  <c r="F26" i="115"/>
  <c r="G26" i="115" s="1"/>
  <c r="F32" i="115"/>
  <c r="G32" i="115" s="1"/>
  <c r="E28" i="115"/>
  <c r="G13" i="115"/>
  <c r="F52" i="115"/>
  <c r="E9" i="115"/>
  <c r="E13" i="115"/>
  <c r="D20" i="19" l="1"/>
  <c r="D16" i="19"/>
  <c r="D14" i="19"/>
  <c r="D21" i="19"/>
  <c r="D45" i="115"/>
  <c r="D19" i="114" l="1"/>
  <c r="D20" i="114"/>
  <c r="D21" i="114"/>
  <c r="D22" i="114"/>
  <c r="D23" i="114"/>
  <c r="D24" i="114"/>
  <c r="D25" i="114"/>
  <c r="D26" i="114"/>
  <c r="D27" i="114"/>
  <c r="D28" i="114"/>
  <c r="D18" i="114"/>
  <c r="A2" i="62"/>
  <c r="F13" i="6" l="1"/>
  <c r="G67" i="111" l="1"/>
  <c r="G68" i="111" s="1"/>
  <c r="J39" i="114" l="1"/>
  <c r="A1" i="114"/>
  <c r="E5" i="114"/>
  <c r="C3" i="79"/>
  <c r="C3" i="77"/>
  <c r="C3" i="76"/>
  <c r="C3" i="75"/>
  <c r="C3" i="97"/>
  <c r="C3" i="96"/>
  <c r="C3" i="95"/>
  <c r="C3" i="94"/>
  <c r="C3" i="92"/>
  <c r="C3" i="91"/>
  <c r="C3" i="90"/>
  <c r="C3" i="89"/>
  <c r="C3" i="88"/>
  <c r="C3" i="87"/>
  <c r="C3" i="86"/>
  <c r="C3" i="85"/>
  <c r="C3" i="74"/>
  <c r="C3" i="73"/>
  <c r="C3" i="72"/>
  <c r="C3" i="69"/>
  <c r="C3" i="68"/>
  <c r="C3" i="67"/>
  <c r="C3" i="64"/>
  <c r="B12" i="104"/>
  <c r="C12" i="104"/>
  <c r="E12" i="104"/>
  <c r="G4" i="110"/>
  <c r="B4" i="110"/>
  <c r="C3" i="110"/>
  <c r="B14" i="101" l="1"/>
  <c r="C14" i="101"/>
  <c r="E14" i="101"/>
  <c r="B15" i="101"/>
  <c r="C15" i="101"/>
  <c r="E15" i="101"/>
  <c r="B14" i="100"/>
  <c r="C14" i="100"/>
  <c r="E14" i="100"/>
  <c r="F14" i="101"/>
  <c r="G14" i="101" s="1"/>
  <c r="G4" i="78"/>
  <c r="F15" i="101" l="1"/>
  <c r="G15" i="101" s="1"/>
  <c r="F14" i="100"/>
  <c r="G14" i="100" s="1"/>
  <c r="P41" i="114"/>
  <c r="P39" i="5" l="1"/>
  <c r="P40" i="114" s="1"/>
  <c r="A26" i="35" l="1"/>
  <c r="B16" i="35"/>
  <c r="A16" i="35"/>
  <c r="B15" i="35"/>
  <c r="A15" i="35"/>
  <c r="B9" i="35"/>
  <c r="A9" i="35"/>
  <c r="B9" i="110" l="1"/>
  <c r="C9" i="110"/>
  <c r="E9" i="110"/>
  <c r="B10" i="110"/>
  <c r="C10" i="110"/>
  <c r="E10" i="110"/>
  <c r="B11" i="110"/>
  <c r="C11" i="110"/>
  <c r="E11" i="110"/>
  <c r="B12" i="110"/>
  <c r="C12" i="110"/>
  <c r="E12" i="110"/>
  <c r="B13" i="110"/>
  <c r="C13" i="110"/>
  <c r="E13" i="110"/>
  <c r="B14" i="110"/>
  <c r="C14" i="110"/>
  <c r="E14" i="110"/>
  <c r="F34" i="110"/>
  <c r="B34" i="110"/>
  <c r="F33" i="110"/>
  <c r="B33" i="110"/>
  <c r="B26" i="110"/>
  <c r="C19" i="110"/>
  <c r="B19" i="110"/>
  <c r="E8" i="110"/>
  <c r="C8" i="110"/>
  <c r="B8" i="110"/>
  <c r="B1" i="110"/>
  <c r="G4" i="109"/>
  <c r="B4" i="109"/>
  <c r="C3" i="109"/>
  <c r="F29" i="109"/>
  <c r="B29" i="109"/>
  <c r="F28" i="109"/>
  <c r="B28" i="109"/>
  <c r="B21" i="109"/>
  <c r="C14" i="109"/>
  <c r="B14" i="109"/>
  <c r="G9" i="109"/>
  <c r="E8" i="109"/>
  <c r="C8" i="109"/>
  <c r="B8" i="109"/>
  <c r="B1" i="109"/>
  <c r="B9" i="108"/>
  <c r="C9" i="108"/>
  <c r="E9" i="108"/>
  <c r="B10" i="108"/>
  <c r="C10" i="108"/>
  <c r="E10" i="108"/>
  <c r="B11" i="108"/>
  <c r="C11" i="108"/>
  <c r="E11" i="108"/>
  <c r="C3" i="108"/>
  <c r="G4" i="108"/>
  <c r="B4" i="108"/>
  <c r="F33" i="108"/>
  <c r="B33" i="108"/>
  <c r="F32" i="108"/>
  <c r="B32" i="108"/>
  <c r="B25" i="108"/>
  <c r="C18" i="108"/>
  <c r="B18" i="108"/>
  <c r="G13" i="108"/>
  <c r="E8" i="108"/>
  <c r="C8" i="108"/>
  <c r="B8" i="108"/>
  <c r="B1" i="108"/>
  <c r="D26" i="110" l="1"/>
  <c r="D21" i="109"/>
  <c r="D25" i="108"/>
  <c r="B4" i="78"/>
  <c r="C3" i="78"/>
  <c r="B15" i="76"/>
  <c r="C15" i="76"/>
  <c r="E15" i="76"/>
  <c r="C3" i="105"/>
  <c r="G4" i="105"/>
  <c r="B4" i="105"/>
  <c r="F29" i="105"/>
  <c r="B29" i="105"/>
  <c r="F28" i="105"/>
  <c r="B28" i="105"/>
  <c r="B21" i="105"/>
  <c r="C14" i="105"/>
  <c r="B14" i="105"/>
  <c r="G9" i="105"/>
  <c r="E8" i="105"/>
  <c r="C8" i="105"/>
  <c r="B8" i="105"/>
  <c r="B1" i="105"/>
  <c r="F8" i="104"/>
  <c r="G8" i="104" s="1"/>
  <c r="G4" i="104"/>
  <c r="B4" i="104"/>
  <c r="C3" i="104"/>
  <c r="F33" i="104"/>
  <c r="B33" i="104"/>
  <c r="F32" i="104"/>
  <c r="B32" i="104"/>
  <c r="B25" i="104"/>
  <c r="C18" i="104"/>
  <c r="B18" i="104"/>
  <c r="E13" i="104"/>
  <c r="C13" i="104"/>
  <c r="B13" i="104"/>
  <c r="E11" i="104"/>
  <c r="C11" i="104"/>
  <c r="B11" i="104"/>
  <c r="E10" i="104"/>
  <c r="C10" i="104"/>
  <c r="B10" i="104"/>
  <c r="E9" i="104"/>
  <c r="C9" i="104"/>
  <c r="B9" i="104"/>
  <c r="E8" i="104"/>
  <c r="C8" i="104"/>
  <c r="B8" i="104"/>
  <c r="B1" i="104"/>
  <c r="F24" i="115"/>
  <c r="G24" i="115" s="1"/>
  <c r="F25" i="115"/>
  <c r="G25" i="115" s="1"/>
  <c r="G4" i="103"/>
  <c r="B4" i="103"/>
  <c r="C3" i="103"/>
  <c r="F32" i="103"/>
  <c r="B32" i="103"/>
  <c r="F31" i="103"/>
  <c r="B31" i="103"/>
  <c r="B24" i="103"/>
  <c r="C17" i="103"/>
  <c r="B17" i="103"/>
  <c r="E12" i="103"/>
  <c r="C12" i="103"/>
  <c r="B12" i="103"/>
  <c r="E11" i="103"/>
  <c r="C11" i="103"/>
  <c r="B11" i="103"/>
  <c r="E10" i="103"/>
  <c r="C10" i="103"/>
  <c r="B10" i="103"/>
  <c r="E9" i="103"/>
  <c r="C9" i="103"/>
  <c r="B9" i="103"/>
  <c r="E8" i="103"/>
  <c r="C8" i="103"/>
  <c r="B8" i="103"/>
  <c r="B1" i="103"/>
  <c r="B14" i="102"/>
  <c r="C14" i="102"/>
  <c r="E14" i="102"/>
  <c r="B15" i="102"/>
  <c r="C15" i="102"/>
  <c r="E15" i="102"/>
  <c r="B16" i="102"/>
  <c r="C16" i="102"/>
  <c r="E16" i="102"/>
  <c r="B17" i="102"/>
  <c r="C17" i="102"/>
  <c r="E17" i="102"/>
  <c r="G4" i="102"/>
  <c r="B4" i="102"/>
  <c r="C3" i="102"/>
  <c r="F38" i="102"/>
  <c r="B38" i="102"/>
  <c r="F37" i="102"/>
  <c r="B37" i="102"/>
  <c r="B30" i="102"/>
  <c r="C23" i="102"/>
  <c r="B23" i="102"/>
  <c r="E18" i="102"/>
  <c r="C18" i="102"/>
  <c r="B18" i="102"/>
  <c r="E13" i="102"/>
  <c r="C13" i="102"/>
  <c r="B13" i="102"/>
  <c r="E12" i="102"/>
  <c r="C12" i="102"/>
  <c r="B12" i="102"/>
  <c r="E11" i="102"/>
  <c r="C11" i="102"/>
  <c r="B11" i="102"/>
  <c r="E10" i="102"/>
  <c r="C10" i="102"/>
  <c r="B10" i="102"/>
  <c r="E9" i="102"/>
  <c r="C9" i="102"/>
  <c r="B9" i="102"/>
  <c r="E8" i="102"/>
  <c r="C8" i="102"/>
  <c r="B8" i="102"/>
  <c r="B1" i="102"/>
  <c r="G4" i="101"/>
  <c r="B4" i="101"/>
  <c r="C3" i="101"/>
  <c r="F36" i="101"/>
  <c r="B36" i="101"/>
  <c r="F35" i="101"/>
  <c r="B35" i="101"/>
  <c r="B28" i="101"/>
  <c r="C21" i="101"/>
  <c r="B21" i="101"/>
  <c r="E16" i="101"/>
  <c r="C16" i="101"/>
  <c r="B16" i="101"/>
  <c r="E13" i="101"/>
  <c r="C13" i="101"/>
  <c r="B13" i="101"/>
  <c r="E12" i="101"/>
  <c r="C12" i="101"/>
  <c r="B12" i="101"/>
  <c r="E11" i="101"/>
  <c r="C11" i="101"/>
  <c r="B11" i="101"/>
  <c r="E10" i="101"/>
  <c r="C10" i="101"/>
  <c r="B10" i="101"/>
  <c r="E9" i="101"/>
  <c r="C9" i="101"/>
  <c r="B9" i="101"/>
  <c r="E8" i="101"/>
  <c r="C8" i="101"/>
  <c r="B8" i="101"/>
  <c r="B1" i="101"/>
  <c r="E13" i="100"/>
  <c r="E15" i="100"/>
  <c r="B13" i="100"/>
  <c r="C13" i="100"/>
  <c r="B15" i="100"/>
  <c r="C15" i="100"/>
  <c r="G4" i="100"/>
  <c r="B4" i="100"/>
  <c r="C3" i="100"/>
  <c r="F35" i="100"/>
  <c r="B35" i="100"/>
  <c r="F34" i="100"/>
  <c r="B34" i="100"/>
  <c r="B27" i="100"/>
  <c r="C20" i="100"/>
  <c r="B20" i="100"/>
  <c r="C12" i="100"/>
  <c r="B12" i="100"/>
  <c r="C11" i="100"/>
  <c r="B11" i="100"/>
  <c r="C10" i="100"/>
  <c r="B10" i="100"/>
  <c r="C9" i="100"/>
  <c r="B9" i="100"/>
  <c r="E8" i="100"/>
  <c r="C8" i="100"/>
  <c r="B8" i="100"/>
  <c r="B1" i="100"/>
  <c r="B27" i="99"/>
  <c r="P16" i="99"/>
  <c r="P12" i="99"/>
  <c r="C12" i="99"/>
  <c r="B12" i="99"/>
  <c r="C11" i="99"/>
  <c r="B11" i="99"/>
  <c r="C10" i="99"/>
  <c r="B10" i="99"/>
  <c r="C9" i="99"/>
  <c r="B9" i="99"/>
  <c r="E8" i="99"/>
  <c r="C8" i="99"/>
  <c r="B8" i="99"/>
  <c r="B4" i="99"/>
  <c r="G4" i="99"/>
  <c r="C3" i="99"/>
  <c r="B34" i="99"/>
  <c r="B33" i="99"/>
  <c r="B26" i="99"/>
  <c r="C19" i="99"/>
  <c r="B19" i="99"/>
  <c r="G14" i="99"/>
  <c r="B1" i="99"/>
  <c r="L19" i="98"/>
  <c r="F15" i="98" s="1"/>
  <c r="G4" i="98"/>
  <c r="B4" i="98"/>
  <c r="C3" i="98"/>
  <c r="B30" i="98"/>
  <c r="B29" i="98"/>
  <c r="D22" i="98"/>
  <c r="B22" i="98"/>
  <c r="D16" i="98"/>
  <c r="C16" i="98"/>
  <c r="B16" i="98"/>
  <c r="C15" i="98"/>
  <c r="B15" i="98"/>
  <c r="G10" i="98"/>
  <c r="G9" i="98"/>
  <c r="G8" i="98"/>
  <c r="G11" i="98" s="1"/>
  <c r="E18" i="114" s="1"/>
  <c r="K18" i="114" s="1"/>
  <c r="B1" i="98"/>
  <c r="E18" i="5" l="1"/>
  <c r="K18" i="5" s="1"/>
  <c r="D21" i="105"/>
  <c r="D25" i="104"/>
  <c r="D24" i="103"/>
  <c r="D30" i="102"/>
  <c r="D28" i="101"/>
  <c r="P19" i="99"/>
  <c r="F29" i="98"/>
  <c r="F34" i="99"/>
  <c r="F33" i="99"/>
  <c r="F16" i="98"/>
  <c r="G16" i="98" s="1"/>
  <c r="F30" i="98"/>
  <c r="D12" i="97"/>
  <c r="B12" i="97"/>
  <c r="C12" i="97"/>
  <c r="E12" i="97"/>
  <c r="D11" i="97"/>
  <c r="E11" i="97" s="1"/>
  <c r="D10" i="97"/>
  <c r="E10" i="97" s="1"/>
  <c r="B11" i="97"/>
  <c r="C11" i="97"/>
  <c r="D9" i="97"/>
  <c r="E9" i="97" s="1"/>
  <c r="B10" i="97"/>
  <c r="C10" i="97"/>
  <c r="F28" i="97"/>
  <c r="C28" i="97"/>
  <c r="B28" i="97"/>
  <c r="D17" i="97"/>
  <c r="E17" i="97" s="1"/>
  <c r="D16" i="97"/>
  <c r="E16" i="97" s="1"/>
  <c r="D15" i="97"/>
  <c r="D14" i="97"/>
  <c r="E14" i="97" s="1"/>
  <c r="D13" i="97"/>
  <c r="E13" i="97" s="1"/>
  <c r="D8" i="97"/>
  <c r="F17" i="97"/>
  <c r="F19" i="97"/>
  <c r="G19" i="97" s="1"/>
  <c r="F20" i="97"/>
  <c r="F8" i="99"/>
  <c r="G8" i="99" s="1"/>
  <c r="B9" i="97"/>
  <c r="C9" i="97"/>
  <c r="B13" i="97"/>
  <c r="C13" i="97"/>
  <c r="B14" i="97"/>
  <c r="C14" i="97"/>
  <c r="B15" i="97"/>
  <c r="C15" i="97"/>
  <c r="B16" i="97"/>
  <c r="C16" i="97"/>
  <c r="B17" i="97"/>
  <c r="C17" i="97"/>
  <c r="B18" i="97"/>
  <c r="C18" i="97"/>
  <c r="E18" i="97"/>
  <c r="B19" i="97"/>
  <c r="C19" i="97"/>
  <c r="E19" i="97"/>
  <c r="B20" i="97"/>
  <c r="C20" i="97"/>
  <c r="E20" i="97"/>
  <c r="B21" i="97"/>
  <c r="C21" i="97"/>
  <c r="E21" i="97"/>
  <c r="B22" i="97"/>
  <c r="C22" i="97"/>
  <c r="E22" i="97"/>
  <c r="G4" i="97"/>
  <c r="B4" i="97"/>
  <c r="B40" i="97"/>
  <c r="F39" i="97"/>
  <c r="F40" i="97" s="1"/>
  <c r="B39" i="97"/>
  <c r="B33" i="97"/>
  <c r="C27" i="97"/>
  <c r="B27" i="97"/>
  <c r="C8" i="97"/>
  <c r="B8" i="97"/>
  <c r="B1" i="97"/>
  <c r="D8" i="96"/>
  <c r="G4" i="96"/>
  <c r="B4" i="96"/>
  <c r="B27" i="96"/>
  <c r="F26" i="96"/>
  <c r="F27" i="96" s="1"/>
  <c r="B26" i="96"/>
  <c r="B20" i="96"/>
  <c r="C14" i="96"/>
  <c r="B14" i="96"/>
  <c r="C9" i="96"/>
  <c r="B9" i="96"/>
  <c r="C8" i="96"/>
  <c r="B8" i="96"/>
  <c r="B1" i="96"/>
  <c r="E418" i="10"/>
  <c r="D14" i="95"/>
  <c r="D17" i="95" s="1"/>
  <c r="E17" i="95" s="1"/>
  <c r="B9" i="95"/>
  <c r="C9" i="95"/>
  <c r="E9" i="95"/>
  <c r="B10" i="95"/>
  <c r="C10" i="95"/>
  <c r="E10" i="95"/>
  <c r="B11" i="95"/>
  <c r="C11" i="95"/>
  <c r="E11" i="95"/>
  <c r="B12" i="95"/>
  <c r="C12" i="95"/>
  <c r="E12" i="95"/>
  <c r="B13" i="95"/>
  <c r="C13" i="95"/>
  <c r="E13" i="95"/>
  <c r="B14" i="95"/>
  <c r="C14" i="95"/>
  <c r="B15" i="95"/>
  <c r="C15" i="95"/>
  <c r="E15" i="95"/>
  <c r="B16" i="95"/>
  <c r="C16" i="95"/>
  <c r="E16" i="95"/>
  <c r="F16" i="95"/>
  <c r="G16" i="95" s="1"/>
  <c r="F8" i="96"/>
  <c r="F13" i="95"/>
  <c r="G13" i="95" s="1"/>
  <c r="F11" i="95"/>
  <c r="G11" i="95" s="1"/>
  <c r="B4" i="95"/>
  <c r="G4" i="95"/>
  <c r="B35" i="95"/>
  <c r="B34" i="95"/>
  <c r="B28" i="95"/>
  <c r="F34" i="95"/>
  <c r="F35" i="95" s="1"/>
  <c r="C22" i="95"/>
  <c r="B22" i="95"/>
  <c r="C17" i="95"/>
  <c r="B17" i="95"/>
  <c r="E8" i="95"/>
  <c r="C8" i="95"/>
  <c r="B8" i="95"/>
  <c r="B1" i="95"/>
  <c r="F17" i="94"/>
  <c r="F16" i="94"/>
  <c r="C11" i="94"/>
  <c r="B11" i="94"/>
  <c r="B17" i="94"/>
  <c r="C17" i="94"/>
  <c r="D28" i="97"/>
  <c r="B10" i="94"/>
  <c r="C10" i="94"/>
  <c r="E10" i="94"/>
  <c r="G4" i="94"/>
  <c r="B4" i="94"/>
  <c r="K77" i="94"/>
  <c r="K76" i="94"/>
  <c r="K75" i="94"/>
  <c r="K74" i="94"/>
  <c r="K73" i="94"/>
  <c r="K72" i="94"/>
  <c r="M62" i="94"/>
  <c r="M63" i="94" s="1"/>
  <c r="L56" i="94"/>
  <c r="K56" i="94"/>
  <c r="K55" i="94"/>
  <c r="N55" i="94" s="1"/>
  <c r="O55" i="94" s="1"/>
  <c r="K48" i="94"/>
  <c r="K47" i="94"/>
  <c r="K46" i="94"/>
  <c r="K45" i="94"/>
  <c r="K44" i="94"/>
  <c r="K43" i="94"/>
  <c r="K34" i="94"/>
  <c r="K33" i="94"/>
  <c r="K31" i="94"/>
  <c r="K30" i="94"/>
  <c r="K29" i="94"/>
  <c r="B29" i="94"/>
  <c r="F28" i="94"/>
  <c r="F29" i="94" s="1"/>
  <c r="B28" i="94"/>
  <c r="K23" i="94"/>
  <c r="B22" i="94"/>
  <c r="K21" i="94"/>
  <c r="K20" i="94"/>
  <c r="K19" i="94"/>
  <c r="K18" i="94"/>
  <c r="K17" i="94"/>
  <c r="K16" i="94"/>
  <c r="C16" i="94"/>
  <c r="B16" i="94"/>
  <c r="E9" i="94"/>
  <c r="C9" i="94"/>
  <c r="B9" i="94"/>
  <c r="C8" i="94"/>
  <c r="B8" i="94"/>
  <c r="B1" i="94"/>
  <c r="F15" i="92"/>
  <c r="G4" i="92"/>
  <c r="B4" i="92"/>
  <c r="B28" i="92"/>
  <c r="B27" i="92"/>
  <c r="B21" i="92"/>
  <c r="F27" i="92"/>
  <c r="F28" i="92" s="1"/>
  <c r="C15" i="92"/>
  <c r="B15" i="92"/>
  <c r="E9" i="92"/>
  <c r="C9" i="92"/>
  <c r="B9" i="92"/>
  <c r="E8" i="92"/>
  <c r="C8" i="92"/>
  <c r="B8" i="92"/>
  <c r="B1" i="92"/>
  <c r="F19" i="91"/>
  <c r="F18" i="91"/>
  <c r="F32" i="91" s="1"/>
  <c r="F33" i="91" s="1"/>
  <c r="F20" i="91"/>
  <c r="B20" i="91"/>
  <c r="C20" i="91"/>
  <c r="D20" i="91"/>
  <c r="F11" i="2"/>
  <c r="F12" i="2" s="1"/>
  <c r="D11" i="91"/>
  <c r="E11" i="91" s="1"/>
  <c r="D10" i="91"/>
  <c r="E10" i="91" s="1"/>
  <c r="D9" i="91"/>
  <c r="D8" i="91"/>
  <c r="E8" i="91" s="1"/>
  <c r="G4" i="91"/>
  <c r="B4" i="91"/>
  <c r="B33" i="91"/>
  <c r="B32" i="91"/>
  <c r="B26" i="91"/>
  <c r="B25" i="91"/>
  <c r="C19" i="91"/>
  <c r="B19" i="91"/>
  <c r="C18" i="91"/>
  <c r="B18" i="91"/>
  <c r="E12" i="91"/>
  <c r="C12" i="91"/>
  <c r="B12" i="91"/>
  <c r="C11" i="91"/>
  <c r="B11" i="91"/>
  <c r="C10" i="91"/>
  <c r="B10" i="91"/>
  <c r="C9" i="91"/>
  <c r="B9" i="91"/>
  <c r="C8" i="91"/>
  <c r="B8" i="91"/>
  <c r="B1" i="91"/>
  <c r="F19" i="90"/>
  <c r="B19" i="90"/>
  <c r="C19" i="90"/>
  <c r="D19" i="90"/>
  <c r="F18" i="90"/>
  <c r="F32" i="90" s="1"/>
  <c r="F33" i="90" s="1"/>
  <c r="B12" i="90"/>
  <c r="C12" i="90"/>
  <c r="E12" i="90"/>
  <c r="G17" i="97" l="1"/>
  <c r="E14" i="95"/>
  <c r="D17" i="94"/>
  <c r="G17" i="94" s="1"/>
  <c r="F12" i="103"/>
  <c r="G12" i="103" s="1"/>
  <c r="F15" i="76"/>
  <c r="G15" i="76" s="1"/>
  <c r="E11" i="100"/>
  <c r="E9" i="100"/>
  <c r="E10" i="100"/>
  <c r="E12" i="100"/>
  <c r="D12" i="99"/>
  <c r="D11" i="99"/>
  <c r="D10" i="99"/>
  <c r="D9" i="99"/>
  <c r="F22" i="97"/>
  <c r="G22" i="97" s="1"/>
  <c r="F16" i="97"/>
  <c r="G16" i="97" s="1"/>
  <c r="G28" i="97"/>
  <c r="G20" i="97"/>
  <c r="F14" i="97"/>
  <c r="G14" i="97" s="1"/>
  <c r="E8" i="96"/>
  <c r="F8" i="97"/>
  <c r="G8" i="97" s="1"/>
  <c r="E8" i="97"/>
  <c r="G8" i="96"/>
  <c r="E9" i="96"/>
  <c r="D28" i="95"/>
  <c r="E11" i="94"/>
  <c r="N56" i="94"/>
  <c r="O56" i="94" s="1"/>
  <c r="K35" i="94"/>
  <c r="K36" i="94" s="1"/>
  <c r="K37" i="94" s="1"/>
  <c r="K22" i="94"/>
  <c r="K24" i="94" s="1"/>
  <c r="K25" i="94" s="1"/>
  <c r="K49" i="94"/>
  <c r="K50" i="94" s="1"/>
  <c r="K51" i="94" s="1"/>
  <c r="K78" i="94"/>
  <c r="K79" i="94" s="1"/>
  <c r="D21" i="92"/>
  <c r="G10" i="92"/>
  <c r="G20" i="91"/>
  <c r="D19" i="91"/>
  <c r="G19" i="91" s="1"/>
  <c r="D25" i="91"/>
  <c r="E9" i="91"/>
  <c r="D26" i="91" s="1"/>
  <c r="G19" i="90"/>
  <c r="D27" i="100" l="1"/>
  <c r="E9" i="99"/>
  <c r="E10" i="99"/>
  <c r="E11" i="99"/>
  <c r="E12" i="99"/>
  <c r="D26" i="99" s="1"/>
  <c r="D20" i="96"/>
  <c r="E8" i="94"/>
  <c r="D22" i="94" s="1"/>
  <c r="E13" i="91"/>
  <c r="D27" i="99" l="1"/>
  <c r="E13" i="99"/>
  <c r="D11" i="90" l="1"/>
  <c r="D9" i="90"/>
  <c r="E9" i="90" s="1"/>
  <c r="D10" i="90"/>
  <c r="D8" i="90"/>
  <c r="G4" i="90"/>
  <c r="B4" i="90"/>
  <c r="B33" i="90"/>
  <c r="B32" i="90"/>
  <c r="B26" i="90"/>
  <c r="B25" i="90"/>
  <c r="C18" i="90"/>
  <c r="B18" i="90"/>
  <c r="C11" i="90"/>
  <c r="B11" i="90"/>
  <c r="E10" i="90"/>
  <c r="C10" i="90"/>
  <c r="B10" i="90"/>
  <c r="C9" i="90"/>
  <c r="B9" i="90"/>
  <c r="C8" i="90"/>
  <c r="B8" i="90"/>
  <c r="B1" i="90"/>
  <c r="E8" i="90" l="1"/>
  <c r="E11" i="90"/>
  <c r="F15" i="89"/>
  <c r="F30" i="89" s="1"/>
  <c r="B9" i="89"/>
  <c r="C9" i="89"/>
  <c r="E9" i="89"/>
  <c r="D22" i="89" s="1"/>
  <c r="E8" i="89"/>
  <c r="C8" i="89"/>
  <c r="B8" i="89"/>
  <c r="G4" i="89"/>
  <c r="B4" i="89"/>
  <c r="B30" i="89"/>
  <c r="B22" i="89"/>
  <c r="D16" i="89"/>
  <c r="C16" i="89"/>
  <c r="B16" i="89"/>
  <c r="C15" i="89"/>
  <c r="B15" i="89"/>
  <c r="G10" i="89"/>
  <c r="B1" i="89"/>
  <c r="B29" i="88"/>
  <c r="F15" i="88"/>
  <c r="F30" i="88" s="1"/>
  <c r="G4" i="88"/>
  <c r="B4" i="88"/>
  <c r="B30" i="88"/>
  <c r="D22" i="88"/>
  <c r="B22" i="88"/>
  <c r="D16" i="88"/>
  <c r="C16" i="88"/>
  <c r="B16" i="88"/>
  <c r="C15" i="88"/>
  <c r="B15" i="88"/>
  <c r="G10" i="88"/>
  <c r="G9" i="88"/>
  <c r="G8" i="88"/>
  <c r="B1" i="88"/>
  <c r="B16" i="87"/>
  <c r="C16" i="87"/>
  <c r="D16" i="87"/>
  <c r="G16" i="87" s="1"/>
  <c r="G4" i="87"/>
  <c r="B4" i="87"/>
  <c r="F30" i="87"/>
  <c r="B30" i="87"/>
  <c r="F29" i="87"/>
  <c r="B29" i="87"/>
  <c r="B22" i="87"/>
  <c r="C15" i="87"/>
  <c r="B15" i="87"/>
  <c r="G10" i="87"/>
  <c r="D22" i="87"/>
  <c r="G9" i="87"/>
  <c r="G8" i="87"/>
  <c r="B1" i="87"/>
  <c r="F9" i="95"/>
  <c r="G9" i="95" s="1"/>
  <c r="F10" i="95"/>
  <c r="G10" i="95" s="1"/>
  <c r="F12" i="95"/>
  <c r="G12" i="95" s="1"/>
  <c r="F14" i="95"/>
  <c r="G14" i="95" s="1"/>
  <c r="F15" i="95"/>
  <c r="G15" i="95" s="1"/>
  <c r="G4" i="86"/>
  <c r="B4" i="86"/>
  <c r="B30" i="86"/>
  <c r="B29" i="86"/>
  <c r="B22" i="86"/>
  <c r="F29" i="86"/>
  <c r="C15" i="86"/>
  <c r="B15" i="86"/>
  <c r="E10" i="86"/>
  <c r="C10" i="86"/>
  <c r="B10" i="86"/>
  <c r="E9" i="86"/>
  <c r="C9" i="86"/>
  <c r="B9" i="86"/>
  <c r="E8" i="86"/>
  <c r="C8" i="86"/>
  <c r="B8" i="86"/>
  <c r="B1" i="86"/>
  <c r="F29" i="88" l="1"/>
  <c r="G11" i="88"/>
  <c r="F16" i="88"/>
  <c r="D26" i="90"/>
  <c r="E13" i="90"/>
  <c r="D25" i="90"/>
  <c r="G16" i="89"/>
  <c r="G16" i="88"/>
  <c r="G11" i="87"/>
  <c r="D22" i="86"/>
  <c r="F30" i="86"/>
  <c r="G4" i="74" l="1"/>
  <c r="B4" i="74"/>
  <c r="B13" i="85"/>
  <c r="C13" i="85"/>
  <c r="E13" i="85"/>
  <c r="B12" i="85"/>
  <c r="C12" i="85"/>
  <c r="E12" i="85"/>
  <c r="F18" i="85"/>
  <c r="F32" i="85" s="1"/>
  <c r="E11" i="85"/>
  <c r="C11" i="85"/>
  <c r="B11" i="85"/>
  <c r="E10" i="85"/>
  <c r="C10" i="85"/>
  <c r="B10" i="85"/>
  <c r="D8" i="85"/>
  <c r="E8" i="85" s="1"/>
  <c r="B33" i="85"/>
  <c r="B32" i="85"/>
  <c r="B25" i="85"/>
  <c r="C18" i="85"/>
  <c r="B18" i="85"/>
  <c r="E9" i="85"/>
  <c r="C9" i="85"/>
  <c r="B9" i="85"/>
  <c r="C8" i="85"/>
  <c r="B8" i="85"/>
  <c r="G4" i="85"/>
  <c r="B4" i="85"/>
  <c r="B1" i="85"/>
  <c r="E14" i="64"/>
  <c r="B14" i="64"/>
  <c r="C14" i="64"/>
  <c r="D25" i="85" l="1"/>
  <c r="F33" i="85"/>
  <c r="F12" i="85" l="1"/>
  <c r="G12" i="85" s="1"/>
  <c r="F13" i="85"/>
  <c r="G13" i="85" s="1"/>
  <c r="E12" i="70"/>
  <c r="B12" i="70"/>
  <c r="C12" i="70"/>
  <c r="E399" i="10"/>
  <c r="E398" i="10"/>
  <c r="D12" i="74" l="1"/>
  <c r="F29" i="21" l="1"/>
  <c r="F29" i="79"/>
  <c r="F44" i="79" s="1"/>
  <c r="D23" i="79"/>
  <c r="D21" i="79"/>
  <c r="E21" i="79" s="1"/>
  <c r="D18" i="79"/>
  <c r="E18" i="79" s="1"/>
  <c r="B13" i="79"/>
  <c r="C13" i="79"/>
  <c r="E13" i="79"/>
  <c r="B14" i="79"/>
  <c r="C14" i="79"/>
  <c r="E14" i="79"/>
  <c r="B15" i="79"/>
  <c r="C15" i="79"/>
  <c r="E15" i="79"/>
  <c r="B16" i="79"/>
  <c r="C16" i="79"/>
  <c r="E16" i="79"/>
  <c r="B17" i="79"/>
  <c r="C17" i="79"/>
  <c r="E17" i="79"/>
  <c r="B18" i="79"/>
  <c r="C18" i="79"/>
  <c r="B19" i="79"/>
  <c r="C19" i="79"/>
  <c r="B20" i="79"/>
  <c r="C20" i="79"/>
  <c r="E20" i="79"/>
  <c r="B21" i="79"/>
  <c r="C21" i="79"/>
  <c r="B22" i="79"/>
  <c r="C22" i="79"/>
  <c r="E22" i="79"/>
  <c r="B23" i="79"/>
  <c r="C23" i="79"/>
  <c r="B24" i="79"/>
  <c r="C24" i="79"/>
  <c r="E24" i="79"/>
  <c r="G4" i="79"/>
  <c r="B4" i="79"/>
  <c r="B44" i="79"/>
  <c r="B43" i="79"/>
  <c r="B36" i="79"/>
  <c r="C29" i="79"/>
  <c r="B29" i="79"/>
  <c r="C12" i="79"/>
  <c r="B12" i="79"/>
  <c r="E11" i="79"/>
  <c r="C11" i="79"/>
  <c r="B11" i="79"/>
  <c r="E10" i="79"/>
  <c r="C10" i="79"/>
  <c r="B10" i="79"/>
  <c r="E9" i="79"/>
  <c r="C9" i="79"/>
  <c r="B9" i="79"/>
  <c r="E8" i="79"/>
  <c r="C8" i="79"/>
  <c r="B8" i="79"/>
  <c r="B1" i="79"/>
  <c r="E23" i="79" l="1"/>
  <c r="E19" i="79"/>
  <c r="F43" i="79"/>
  <c r="E12" i="79"/>
  <c r="D36" i="79" l="1"/>
  <c r="B40" i="78" l="1"/>
  <c r="B39" i="78"/>
  <c r="B32" i="78"/>
  <c r="C25" i="78"/>
  <c r="B25" i="78"/>
  <c r="E19" i="78"/>
  <c r="C19" i="78"/>
  <c r="B19" i="78"/>
  <c r="C18" i="78"/>
  <c r="B18" i="78"/>
  <c r="C17" i="78"/>
  <c r="B17" i="78"/>
  <c r="C16" i="78"/>
  <c r="B16" i="78"/>
  <c r="E15" i="78"/>
  <c r="C15" i="78"/>
  <c r="B15" i="78"/>
  <c r="C14" i="78"/>
  <c r="B14" i="78"/>
  <c r="C13" i="78"/>
  <c r="B13" i="78"/>
  <c r="E12" i="78"/>
  <c r="C12" i="78"/>
  <c r="B12" i="78"/>
  <c r="E11" i="78"/>
  <c r="C11" i="78"/>
  <c r="B11" i="78"/>
  <c r="C10" i="78"/>
  <c r="B10" i="78"/>
  <c r="E9" i="78"/>
  <c r="C9" i="78"/>
  <c r="B9" i="78"/>
  <c r="E8" i="78"/>
  <c r="C8" i="78"/>
  <c r="B8" i="78"/>
  <c r="B1" i="78"/>
  <c r="D12" i="77"/>
  <c r="E12" i="77" s="1"/>
  <c r="G4" i="77"/>
  <c r="B4" i="77"/>
  <c r="B33" i="77"/>
  <c r="B32" i="77"/>
  <c r="B25" i="77"/>
  <c r="F18" i="77"/>
  <c r="F32" i="77" s="1"/>
  <c r="C18" i="77"/>
  <c r="B18" i="77"/>
  <c r="E13" i="77"/>
  <c r="C13" i="77"/>
  <c r="B13" i="77"/>
  <c r="C12" i="77"/>
  <c r="B12" i="77"/>
  <c r="E11" i="77"/>
  <c r="C11" i="77"/>
  <c r="B11" i="77"/>
  <c r="E10" i="77"/>
  <c r="C10" i="77"/>
  <c r="B10" i="77"/>
  <c r="E9" i="77"/>
  <c r="C9" i="77"/>
  <c r="B9" i="77"/>
  <c r="E8" i="77"/>
  <c r="C8" i="77"/>
  <c r="B8" i="77"/>
  <c r="B1" i="77"/>
  <c r="F23" i="76"/>
  <c r="F37" i="76" s="1"/>
  <c r="F38" i="76" s="1"/>
  <c r="G4" i="76"/>
  <c r="B4" i="76"/>
  <c r="B38" i="76"/>
  <c r="B37" i="76"/>
  <c r="B30" i="76"/>
  <c r="C23" i="76"/>
  <c r="B23" i="76"/>
  <c r="C18" i="76"/>
  <c r="B18" i="76"/>
  <c r="C17" i="76"/>
  <c r="B17" i="76"/>
  <c r="C16" i="76"/>
  <c r="B16" i="76"/>
  <c r="E14" i="76"/>
  <c r="C14" i="76"/>
  <c r="B14" i="76"/>
  <c r="E13" i="76"/>
  <c r="C13" i="76"/>
  <c r="B13" i="76"/>
  <c r="C12" i="76"/>
  <c r="B12" i="76"/>
  <c r="E11" i="76"/>
  <c r="C11" i="76"/>
  <c r="B11" i="76"/>
  <c r="E10" i="76"/>
  <c r="C10" i="76"/>
  <c r="B10" i="76"/>
  <c r="E9" i="76"/>
  <c r="C9" i="76"/>
  <c r="B9" i="76"/>
  <c r="E8" i="76"/>
  <c r="C8" i="76"/>
  <c r="B8" i="76"/>
  <c r="B1" i="76"/>
  <c r="E10" i="78" l="1"/>
  <c r="E14" i="78"/>
  <c r="E18" i="78"/>
  <c r="E13" i="78"/>
  <c r="E17" i="78"/>
  <c r="E16" i="78"/>
  <c r="D25" i="77"/>
  <c r="F33" i="77"/>
  <c r="E18" i="76"/>
  <c r="E12" i="76"/>
  <c r="C3" i="21"/>
  <c r="G4" i="21"/>
  <c r="B4" i="21"/>
  <c r="B18" i="62"/>
  <c r="A18" i="62"/>
  <c r="D19" i="62"/>
  <c r="D32" i="78" l="1"/>
  <c r="B18" i="75" l="1"/>
  <c r="C18" i="75"/>
  <c r="B19" i="75"/>
  <c r="C19" i="75"/>
  <c r="B17" i="75"/>
  <c r="C17" i="75"/>
  <c r="B16" i="75"/>
  <c r="C16" i="75"/>
  <c r="B15" i="75"/>
  <c r="C15" i="75"/>
  <c r="F9" i="78"/>
  <c r="G9" i="78" s="1"/>
  <c r="G4" i="75"/>
  <c r="B4" i="75"/>
  <c r="B40" i="75"/>
  <c r="F39" i="75"/>
  <c r="F40" i="75" s="1"/>
  <c r="B39" i="75"/>
  <c r="B32" i="75"/>
  <c r="C25" i="75"/>
  <c r="B25" i="75"/>
  <c r="C14" i="75"/>
  <c r="B14" i="75"/>
  <c r="C13" i="75"/>
  <c r="B13" i="75"/>
  <c r="C12" i="75"/>
  <c r="B12" i="75"/>
  <c r="C11" i="75"/>
  <c r="B11" i="75"/>
  <c r="C10" i="75"/>
  <c r="B10" i="75"/>
  <c r="E9" i="75"/>
  <c r="C9" i="75"/>
  <c r="B9" i="75"/>
  <c r="E8" i="75"/>
  <c r="C8" i="75"/>
  <c r="B8" i="75"/>
  <c r="B1" i="75"/>
  <c r="B10" i="66" l="1"/>
  <c r="C10" i="66"/>
  <c r="E10" i="66"/>
  <c r="D13" i="64"/>
  <c r="B33" i="74"/>
  <c r="B32" i="74"/>
  <c r="B25" i="74"/>
  <c r="F18" i="74"/>
  <c r="F33" i="74" s="1"/>
  <c r="C18" i="74"/>
  <c r="B18" i="74"/>
  <c r="E13" i="74"/>
  <c r="C13" i="74"/>
  <c r="B13" i="74"/>
  <c r="C12" i="74"/>
  <c r="B12" i="74"/>
  <c r="E11" i="74"/>
  <c r="C11" i="74"/>
  <c r="B11" i="74"/>
  <c r="E10" i="74"/>
  <c r="C10" i="74"/>
  <c r="B10" i="74"/>
  <c r="E9" i="74"/>
  <c r="C9" i="74"/>
  <c r="B9" i="74"/>
  <c r="E8" i="74"/>
  <c r="C8" i="74"/>
  <c r="B8" i="74"/>
  <c r="B1" i="74"/>
  <c r="B9" i="73"/>
  <c r="C9" i="73"/>
  <c r="E9" i="73"/>
  <c r="F9" i="73"/>
  <c r="G9" i="73" s="1"/>
  <c r="G4" i="73"/>
  <c r="B4" i="73"/>
  <c r="B30" i="73"/>
  <c r="B29" i="73"/>
  <c r="B22" i="73"/>
  <c r="F29" i="73"/>
  <c r="C15" i="73"/>
  <c r="B15" i="73"/>
  <c r="E8" i="73"/>
  <c r="C8" i="73"/>
  <c r="B8" i="73"/>
  <c r="B1" i="73"/>
  <c r="F25" i="72"/>
  <c r="G4" i="72"/>
  <c r="B4" i="72"/>
  <c r="B20" i="72"/>
  <c r="C20" i="72"/>
  <c r="E20" i="72"/>
  <c r="F32" i="74" l="1"/>
  <c r="E12" i="74"/>
  <c r="D25" i="74" s="1"/>
  <c r="D22" i="73"/>
  <c r="F30" i="73"/>
  <c r="F40" i="72"/>
  <c r="B40" i="72"/>
  <c r="F39" i="72"/>
  <c r="B39" i="72"/>
  <c r="B32" i="72"/>
  <c r="C25" i="72"/>
  <c r="B25" i="72"/>
  <c r="E19" i="72"/>
  <c r="C19" i="72"/>
  <c r="B19" i="72"/>
  <c r="E18" i="72"/>
  <c r="C18" i="72"/>
  <c r="B18" i="72"/>
  <c r="E17" i="72"/>
  <c r="C17" i="72"/>
  <c r="B17" i="72"/>
  <c r="E16" i="72"/>
  <c r="C16" i="72"/>
  <c r="B16" i="72"/>
  <c r="E15" i="72"/>
  <c r="C15" i="72"/>
  <c r="B15" i="72"/>
  <c r="E14" i="72"/>
  <c r="C14" i="72"/>
  <c r="B14" i="72"/>
  <c r="E13" i="72"/>
  <c r="C13" i="72"/>
  <c r="B13" i="72"/>
  <c r="E12" i="72"/>
  <c r="C12" i="72"/>
  <c r="B12" i="72"/>
  <c r="E11" i="72"/>
  <c r="C11" i="72"/>
  <c r="B11" i="72"/>
  <c r="E10" i="72"/>
  <c r="C10" i="72"/>
  <c r="B10" i="72"/>
  <c r="E9" i="72"/>
  <c r="C9" i="72"/>
  <c r="B9" i="72"/>
  <c r="E8" i="72"/>
  <c r="C8" i="72"/>
  <c r="B8" i="72"/>
  <c r="B1" i="72"/>
  <c r="B16" i="70"/>
  <c r="C16" i="70"/>
  <c r="E16" i="70"/>
  <c r="B17" i="70"/>
  <c r="C17" i="70"/>
  <c r="E17" i="70"/>
  <c r="B18" i="70"/>
  <c r="C18" i="70"/>
  <c r="E18" i="70"/>
  <c r="B19" i="70"/>
  <c r="C19" i="70"/>
  <c r="E19" i="70"/>
  <c r="B20" i="71"/>
  <c r="C20" i="71"/>
  <c r="E20" i="71"/>
  <c r="G4" i="71"/>
  <c r="B4" i="71"/>
  <c r="C3" i="71"/>
  <c r="B19" i="71"/>
  <c r="C19" i="71"/>
  <c r="E19" i="71"/>
  <c r="F19" i="71" l="1"/>
  <c r="G19" i="71" s="1"/>
  <c r="D32" i="72"/>
  <c r="B40" i="71"/>
  <c r="B39" i="71"/>
  <c r="B32" i="71"/>
  <c r="F25" i="71"/>
  <c r="F40" i="71" s="1"/>
  <c r="C25" i="71"/>
  <c r="B25" i="71"/>
  <c r="E18" i="71"/>
  <c r="C18" i="71"/>
  <c r="B18" i="71"/>
  <c r="E17" i="71"/>
  <c r="C17" i="71"/>
  <c r="B17" i="71"/>
  <c r="E16" i="71"/>
  <c r="C16" i="71"/>
  <c r="B16" i="71"/>
  <c r="E15" i="71"/>
  <c r="C15" i="71"/>
  <c r="B15" i="71"/>
  <c r="E14" i="71"/>
  <c r="C14" i="71"/>
  <c r="B14" i="71"/>
  <c r="E13" i="71"/>
  <c r="C13" i="71"/>
  <c r="B13" i="71"/>
  <c r="E12" i="71"/>
  <c r="C12" i="71"/>
  <c r="B12" i="71"/>
  <c r="E11" i="71"/>
  <c r="C11" i="71"/>
  <c r="B11" i="71"/>
  <c r="E10" i="71"/>
  <c r="C10" i="71"/>
  <c r="B10" i="71"/>
  <c r="E9" i="71"/>
  <c r="C9" i="71"/>
  <c r="B9" i="71"/>
  <c r="E8" i="71"/>
  <c r="C8" i="71"/>
  <c r="B8" i="71"/>
  <c r="B1" i="71"/>
  <c r="C15" i="70"/>
  <c r="B15" i="70"/>
  <c r="C24" i="66"/>
  <c r="C25" i="66"/>
  <c r="F30" i="66"/>
  <c r="B9" i="66"/>
  <c r="C9" i="66"/>
  <c r="E9" i="66"/>
  <c r="B23" i="66"/>
  <c r="C23" i="66"/>
  <c r="E23" i="66"/>
  <c r="B20" i="66"/>
  <c r="C20" i="66"/>
  <c r="E20" i="66"/>
  <c r="E25" i="66"/>
  <c r="E24" i="66"/>
  <c r="B24" i="66"/>
  <c r="B25" i="66"/>
  <c r="F17" i="71" l="1"/>
  <c r="G17" i="71" s="1"/>
  <c r="F39" i="71"/>
  <c r="D32" i="71"/>
  <c r="E15" i="70"/>
  <c r="B14" i="70"/>
  <c r="C14" i="70"/>
  <c r="E14" i="70"/>
  <c r="B13" i="70"/>
  <c r="C13" i="70"/>
  <c r="E13" i="70"/>
  <c r="F24" i="70"/>
  <c r="F38" i="70" s="1"/>
  <c r="E11" i="70"/>
  <c r="B11" i="70"/>
  <c r="C11" i="70"/>
  <c r="B10" i="70"/>
  <c r="C10" i="70"/>
  <c r="E10" i="70"/>
  <c r="B4" i="70"/>
  <c r="G4" i="70"/>
  <c r="C3" i="70"/>
  <c r="B39" i="70"/>
  <c r="B38" i="70"/>
  <c r="B31" i="70"/>
  <c r="C24" i="70"/>
  <c r="B24" i="70"/>
  <c r="E9" i="70"/>
  <c r="C9" i="70"/>
  <c r="B9" i="70"/>
  <c r="E8" i="70"/>
  <c r="C8" i="70"/>
  <c r="B8" i="70"/>
  <c r="B1" i="70"/>
  <c r="F17" i="69"/>
  <c r="E12" i="67"/>
  <c r="C12" i="67"/>
  <c r="B12" i="67"/>
  <c r="E11" i="67"/>
  <c r="C11" i="67"/>
  <c r="B11" i="67"/>
  <c r="E12" i="69"/>
  <c r="C12" i="69"/>
  <c r="B12" i="69"/>
  <c r="E11" i="69"/>
  <c r="F18" i="71" l="1"/>
  <c r="G18" i="71" s="1"/>
  <c r="F39" i="70"/>
  <c r="F14" i="70" l="1"/>
  <c r="G14" i="70" s="1"/>
  <c r="D31" i="70"/>
  <c r="B11" i="69" l="1"/>
  <c r="C11" i="69"/>
  <c r="B10" i="69"/>
  <c r="C10" i="69"/>
  <c r="E10" i="69"/>
  <c r="G4" i="69" l="1"/>
  <c r="B4" i="69"/>
  <c r="B32" i="69"/>
  <c r="B31" i="69"/>
  <c r="B24" i="69"/>
  <c r="F31" i="69"/>
  <c r="C17" i="69"/>
  <c r="B17" i="69"/>
  <c r="E9" i="69"/>
  <c r="C9" i="69"/>
  <c r="B9" i="69"/>
  <c r="E8" i="69"/>
  <c r="C8" i="69"/>
  <c r="B8" i="69"/>
  <c r="B1" i="69"/>
  <c r="B4" i="68"/>
  <c r="F28" i="68"/>
  <c r="F42" i="68" s="1"/>
  <c r="B14" i="68"/>
  <c r="C14" i="68"/>
  <c r="E14" i="68"/>
  <c r="B13" i="68"/>
  <c r="C13" i="68"/>
  <c r="E13" i="68"/>
  <c r="B11" i="68"/>
  <c r="C11" i="68"/>
  <c r="E11" i="68"/>
  <c r="B12" i="68"/>
  <c r="C12" i="68"/>
  <c r="E12" i="68"/>
  <c r="B10" i="68"/>
  <c r="C10" i="68"/>
  <c r="B15" i="68"/>
  <c r="C15" i="68"/>
  <c r="E15" i="68"/>
  <c r="B9" i="68"/>
  <c r="C9" i="68"/>
  <c r="E9" i="68"/>
  <c r="G4" i="68"/>
  <c r="B43" i="68"/>
  <c r="B42" i="68"/>
  <c r="B35" i="68"/>
  <c r="C28" i="68"/>
  <c r="B28" i="68"/>
  <c r="E8" i="68"/>
  <c r="C8" i="68"/>
  <c r="B8" i="68"/>
  <c r="B1" i="68"/>
  <c r="F19" i="67"/>
  <c r="E14" i="67"/>
  <c r="B14" i="67"/>
  <c r="C14" i="67"/>
  <c r="B13" i="67"/>
  <c r="C13" i="67"/>
  <c r="E13" i="67"/>
  <c r="B10" i="67"/>
  <c r="C10" i="67"/>
  <c r="E10" i="67"/>
  <c r="A12" i="34" l="1"/>
  <c r="A10" i="34"/>
  <c r="F12" i="69"/>
  <c r="G12" i="69" s="1"/>
  <c r="F13" i="68"/>
  <c r="G13" i="68" s="1"/>
  <c r="D24" i="69"/>
  <c r="F32" i="69"/>
  <c r="F43" i="68"/>
  <c r="B4" i="67" l="1"/>
  <c r="G4" i="67"/>
  <c r="B34" i="67"/>
  <c r="B33" i="67"/>
  <c r="B26" i="67"/>
  <c r="F34" i="67"/>
  <c r="C19" i="67"/>
  <c r="B19" i="67"/>
  <c r="E9" i="67"/>
  <c r="C9" i="67"/>
  <c r="B9" i="67"/>
  <c r="E8" i="67"/>
  <c r="C8" i="67"/>
  <c r="B8" i="67"/>
  <c r="B1" i="67"/>
  <c r="G4" i="66"/>
  <c r="B4" i="66"/>
  <c r="C3" i="66"/>
  <c r="B45" i="66"/>
  <c r="B44" i="66"/>
  <c r="B37" i="66"/>
  <c r="F44" i="66"/>
  <c r="C30" i="66"/>
  <c r="B30" i="66"/>
  <c r="E22" i="66"/>
  <c r="C22" i="66"/>
  <c r="B22" i="66"/>
  <c r="E21" i="66"/>
  <c r="C21" i="66"/>
  <c r="B21" i="66"/>
  <c r="E19" i="66"/>
  <c r="C19" i="66"/>
  <c r="B19" i="66"/>
  <c r="E18" i="66"/>
  <c r="C18" i="66"/>
  <c r="B18" i="66"/>
  <c r="E17" i="66"/>
  <c r="C17" i="66"/>
  <c r="B17" i="66"/>
  <c r="E16" i="66"/>
  <c r="C16" i="66"/>
  <c r="B16" i="66"/>
  <c r="E15" i="66"/>
  <c r="C15" i="66"/>
  <c r="B15" i="66"/>
  <c r="E14" i="66"/>
  <c r="C14" i="66"/>
  <c r="B14" i="66"/>
  <c r="E13" i="66"/>
  <c r="C13" i="66"/>
  <c r="B13" i="66"/>
  <c r="E12" i="66"/>
  <c r="C12" i="66"/>
  <c r="B12" i="66"/>
  <c r="E11" i="66"/>
  <c r="C11" i="66"/>
  <c r="B11" i="66"/>
  <c r="E8" i="66"/>
  <c r="C8" i="66"/>
  <c r="B8" i="66"/>
  <c r="B1" i="66"/>
  <c r="F20" i="65"/>
  <c r="F34" i="65" s="1"/>
  <c r="E14" i="65"/>
  <c r="B13" i="65"/>
  <c r="C13" i="65"/>
  <c r="E48" i="10"/>
  <c r="D12" i="64"/>
  <c r="D11" i="64"/>
  <c r="E10" i="65"/>
  <c r="E12" i="65"/>
  <c r="G4" i="65"/>
  <c r="B4" i="65"/>
  <c r="C3" i="65"/>
  <c r="B35" i="65"/>
  <c r="B34" i="65"/>
  <c r="B27" i="65"/>
  <c r="C20" i="65"/>
  <c r="B20" i="65"/>
  <c r="C15" i="65"/>
  <c r="B15" i="65"/>
  <c r="C14" i="65"/>
  <c r="B14" i="65"/>
  <c r="C12" i="65"/>
  <c r="B12" i="65"/>
  <c r="C11" i="65"/>
  <c r="B11" i="65"/>
  <c r="C10" i="65"/>
  <c r="B10" i="65"/>
  <c r="C9" i="65"/>
  <c r="B9" i="65"/>
  <c r="E8" i="65"/>
  <c r="C8" i="65"/>
  <c r="B8" i="65"/>
  <c r="B1" i="65"/>
  <c r="G4" i="64"/>
  <c r="A11" i="34" l="1"/>
  <c r="E13" i="65"/>
  <c r="D26" i="67"/>
  <c r="F33" i="67"/>
  <c r="D37" i="66"/>
  <c r="F45" i="66"/>
  <c r="E15" i="65"/>
  <c r="F35" i="65"/>
  <c r="B12" i="64"/>
  <c r="C12" i="64"/>
  <c r="E12" i="64"/>
  <c r="D10" i="64" l="1"/>
  <c r="D15" i="64"/>
  <c r="E9" i="16" l="1"/>
  <c r="E10" i="16"/>
  <c r="C9" i="16"/>
  <c r="C10" i="16"/>
  <c r="B10" i="16"/>
  <c r="B9" i="16"/>
  <c r="E10" i="15"/>
  <c r="C10" i="15"/>
  <c r="B10" i="15"/>
  <c r="E9" i="14"/>
  <c r="B10" i="14"/>
  <c r="B9" i="14"/>
  <c r="C9" i="14"/>
  <c r="C10" i="14"/>
  <c r="E16" i="21"/>
  <c r="C15" i="21"/>
  <c r="C16" i="21"/>
  <c r="B15" i="21"/>
  <c r="B16" i="21"/>
  <c r="B4" i="64"/>
  <c r="G4" i="14"/>
  <c r="G4" i="17"/>
  <c r="G4" i="39"/>
  <c r="G4" i="7"/>
  <c r="B35" i="64"/>
  <c r="B34" i="64"/>
  <c r="B27" i="64"/>
  <c r="C20" i="64"/>
  <c r="B20" i="64"/>
  <c r="C15" i="64"/>
  <c r="B15" i="64"/>
  <c r="C13" i="64"/>
  <c r="B13" i="64"/>
  <c r="E11" i="64"/>
  <c r="C11" i="64"/>
  <c r="B11" i="64"/>
  <c r="E10" i="64"/>
  <c r="C10" i="64"/>
  <c r="B10" i="64"/>
  <c r="E9" i="64"/>
  <c r="C9" i="64"/>
  <c r="B9" i="64"/>
  <c r="E8" i="64"/>
  <c r="C8" i="64"/>
  <c r="B8" i="64"/>
  <c r="B1" i="64"/>
  <c r="A8" i="34"/>
  <c r="A1" i="62"/>
  <c r="A3" i="34" s="1"/>
  <c r="B16" i="62"/>
  <c r="B13" i="62"/>
  <c r="A16" i="62"/>
  <c r="A13" i="62"/>
  <c r="B5" i="62"/>
  <c r="A5" i="62"/>
  <c r="A9" i="34" l="1"/>
  <c r="E15" i="64"/>
  <c r="G4" i="19"/>
  <c r="B4" i="19"/>
  <c r="C3" i="19"/>
  <c r="G4" i="20"/>
  <c r="B4" i="20"/>
  <c r="C3" i="20"/>
  <c r="G4" i="43"/>
  <c r="B4" i="43"/>
  <c r="C3" i="43"/>
  <c r="G4" i="18"/>
  <c r="B4" i="18"/>
  <c r="C3" i="18"/>
  <c r="G4" i="16"/>
  <c r="B4" i="16"/>
  <c r="C3" i="16"/>
  <c r="B1" i="18"/>
  <c r="B1" i="16"/>
  <c r="B1" i="15"/>
  <c r="B1" i="14"/>
  <c r="B1" i="17"/>
  <c r="B1" i="39"/>
  <c r="B1" i="7"/>
  <c r="G4" i="15"/>
  <c r="B4" i="15"/>
  <c r="C3" i="15"/>
  <c r="B4" i="14"/>
  <c r="C3" i="14"/>
  <c r="B4" i="17"/>
  <c r="C3" i="17"/>
  <c r="B4" i="39"/>
  <c r="C3" i="39"/>
  <c r="B4" i="7"/>
  <c r="C3" i="7"/>
  <c r="D17" i="62"/>
  <c r="D15" i="62"/>
  <c r="D14" i="62"/>
  <c r="D8" i="62"/>
  <c r="D9" i="62"/>
  <c r="D10" i="62"/>
  <c r="D11" i="62"/>
  <c r="D12" i="62"/>
  <c r="D7" i="62"/>
  <c r="H15" i="62"/>
  <c r="N15" i="62" l="1"/>
  <c r="C67" i="3" l="1"/>
  <c r="E69" i="3" s="1"/>
  <c r="C47" i="3"/>
  <c r="E68" i="3" l="1"/>
  <c r="E31" i="3" s="1"/>
  <c r="C39" i="3" l="1"/>
  <c r="D5" i="114"/>
  <c r="E19" i="75" l="1"/>
  <c r="E17" i="75"/>
  <c r="E16" i="75"/>
  <c r="D16" i="114"/>
  <c r="D14" i="114"/>
  <c r="D15" i="114"/>
  <c r="D30" i="114"/>
  <c r="D12" i="114"/>
  <c r="D13" i="114"/>
  <c r="K5" i="114"/>
  <c r="D9" i="114"/>
  <c r="D7" i="114"/>
  <c r="D8" i="114"/>
  <c r="D10" i="114"/>
  <c r="P42" i="5"/>
  <c r="P45" i="114"/>
  <c r="D10" i="5"/>
  <c r="D8" i="5"/>
  <c r="D7" i="5"/>
  <c r="D9" i="5"/>
  <c r="D16" i="5"/>
  <c r="D14" i="5"/>
  <c r="D15" i="5"/>
  <c r="D13" i="5"/>
  <c r="D12" i="5"/>
  <c r="D15" i="75"/>
  <c r="E15" i="75" s="1"/>
  <c r="E18" i="75"/>
  <c r="D30" i="5"/>
  <c r="D13" i="75"/>
  <c r="E13" i="75" s="1"/>
  <c r="D10" i="75"/>
  <c r="E10" i="75" s="1"/>
  <c r="D5" i="5"/>
  <c r="D12" i="75"/>
  <c r="E12" i="75" s="1"/>
  <c r="D14" i="75"/>
  <c r="E14" i="75" s="1"/>
  <c r="D11" i="75"/>
  <c r="E11" i="75" s="1"/>
  <c r="D17" i="19"/>
  <c r="D13" i="19"/>
  <c r="D19" i="19"/>
  <c r="D15" i="19"/>
  <c r="D18" i="19"/>
  <c r="D15" i="21"/>
  <c r="E15" i="21" s="1"/>
  <c r="B24" i="17"/>
  <c r="D23" i="17"/>
  <c r="E23" i="17" s="1"/>
  <c r="C23" i="17"/>
  <c r="B23" i="17"/>
  <c r="B12" i="7"/>
  <c r="C12" i="7"/>
  <c r="C11" i="34" l="1"/>
  <c r="C12" i="34"/>
  <c r="D12" i="34" s="1"/>
  <c r="D32" i="75"/>
  <c r="D16" i="35"/>
  <c r="D13" i="35"/>
  <c r="C5" i="34"/>
  <c r="C6" i="34"/>
  <c r="C4" i="34"/>
  <c r="C7" i="34"/>
  <c r="D14" i="35"/>
  <c r="D11" i="34"/>
  <c r="C10" i="34"/>
  <c r="D10" i="34" s="1"/>
  <c r="C9" i="34"/>
  <c r="D9" i="34" s="1"/>
  <c r="F12" i="74"/>
  <c r="G12" i="74" s="1"/>
  <c r="F12" i="77"/>
  <c r="G12" i="77" s="1"/>
  <c r="B46" i="43" l="1"/>
  <c r="B48" i="43"/>
  <c r="F40" i="19"/>
  <c r="F41" i="19" s="1"/>
  <c r="C48" i="3" l="1"/>
  <c r="B17" i="19" l="1"/>
  <c r="C17" i="19"/>
  <c r="B15" i="19"/>
  <c r="C15" i="19"/>
  <c r="F12" i="78"/>
  <c r="G12" i="78" s="1"/>
  <c r="F11" i="78"/>
  <c r="G11" i="78" s="1"/>
  <c r="F15" i="19" l="1"/>
  <c r="F11" i="75"/>
  <c r="G11" i="75" s="1"/>
  <c r="F17" i="19"/>
  <c r="F12" i="75"/>
  <c r="G12" i="75" s="1"/>
  <c r="E15" i="19" l="1"/>
  <c r="G15" i="19"/>
  <c r="E17" i="19"/>
  <c r="G17" i="19"/>
  <c r="D22" i="17"/>
  <c r="D12" i="18"/>
  <c r="D21" i="17" l="1"/>
  <c r="F20" i="39"/>
  <c r="D14" i="39"/>
  <c r="C14" i="39"/>
  <c r="B14" i="39"/>
  <c r="D15" i="39"/>
  <c r="D13" i="7"/>
  <c r="E13" i="7" l="1"/>
  <c r="G13" i="7"/>
  <c r="E14" i="39"/>
  <c r="B30" i="20" l="1"/>
  <c r="A14" i="35" l="1"/>
  <c r="B14" i="35"/>
  <c r="D14" i="21"/>
  <c r="B47" i="43"/>
  <c r="B40" i="43"/>
  <c r="B39" i="43"/>
  <c r="F32" i="43"/>
  <c r="C32" i="43"/>
  <c r="B32" i="43"/>
  <c r="E27" i="43"/>
  <c r="C27" i="43"/>
  <c r="B27" i="43"/>
  <c r="E26" i="43"/>
  <c r="C26" i="43"/>
  <c r="B26" i="43"/>
  <c r="E25" i="43"/>
  <c r="C25" i="43"/>
  <c r="B25" i="43"/>
  <c r="D24" i="43"/>
  <c r="E24" i="43" s="1"/>
  <c r="C24" i="43"/>
  <c r="B24" i="43"/>
  <c r="D23" i="43"/>
  <c r="C23" i="43"/>
  <c r="B23" i="43"/>
  <c r="D22" i="43"/>
  <c r="E22" i="43" s="1"/>
  <c r="C22" i="43"/>
  <c r="B22" i="43"/>
  <c r="C21" i="43"/>
  <c r="B21" i="43"/>
  <c r="C20" i="43"/>
  <c r="B20" i="43"/>
  <c r="C19" i="43"/>
  <c r="B19" i="43"/>
  <c r="C18" i="43"/>
  <c r="B18" i="43"/>
  <c r="C15" i="43"/>
  <c r="B15" i="43"/>
  <c r="C12" i="43"/>
  <c r="B12" i="43"/>
  <c r="C11" i="43"/>
  <c r="B11" i="43"/>
  <c r="C10" i="43"/>
  <c r="B10" i="43"/>
  <c r="C9" i="43"/>
  <c r="B9" i="43"/>
  <c r="B1" i="43"/>
  <c r="F21" i="97"/>
  <c r="G21" i="97" s="1"/>
  <c r="D21" i="43"/>
  <c r="D20" i="43"/>
  <c r="E20" i="43" s="1"/>
  <c r="D19" i="43"/>
  <c r="D18" i="43"/>
  <c r="E18" i="43" s="1"/>
  <c r="F11" i="94" l="1"/>
  <c r="G11" i="94" s="1"/>
  <c r="E21" i="43"/>
  <c r="F19" i="43"/>
  <c r="G19" i="43" s="1"/>
  <c r="F18" i="43"/>
  <c r="G18" i="43" s="1"/>
  <c r="F20" i="43"/>
  <c r="G20" i="43" s="1"/>
  <c r="F25" i="43"/>
  <c r="G25" i="43" s="1"/>
  <c r="F23" i="43"/>
  <c r="G23" i="43" s="1"/>
  <c r="F22" i="43"/>
  <c r="G22" i="43" s="1"/>
  <c r="F24" i="43"/>
  <c r="G24" i="43" s="1"/>
  <c r="F26" i="43"/>
  <c r="G26" i="43" s="1"/>
  <c r="F27" i="43"/>
  <c r="G27" i="43" s="1"/>
  <c r="E19" i="43"/>
  <c r="E23" i="43"/>
  <c r="F21" i="43" l="1"/>
  <c r="G21" i="43" s="1"/>
  <c r="D15" i="43"/>
  <c r="E15" i="43" s="1"/>
  <c r="E16" i="43" s="1"/>
  <c r="D11" i="43"/>
  <c r="E11" i="43" s="1"/>
  <c r="D10" i="43"/>
  <c r="E10" i="43" s="1"/>
  <c r="D12" i="43"/>
  <c r="E12" i="43" s="1"/>
  <c r="D9" i="43"/>
  <c r="E9" i="43" s="1"/>
  <c r="D40" i="43" l="1"/>
  <c r="D39" i="43"/>
  <c r="E13" i="43"/>
  <c r="E9" i="17"/>
  <c r="E10" i="17"/>
  <c r="E11" i="17"/>
  <c r="E12" i="17"/>
  <c r="E13" i="17"/>
  <c r="E14" i="17"/>
  <c r="E15" i="17"/>
  <c r="E16" i="17"/>
  <c r="E17" i="17"/>
  <c r="E18" i="17"/>
  <c r="E19" i="17"/>
  <c r="E20" i="17"/>
  <c r="B12" i="39"/>
  <c r="C12" i="39"/>
  <c r="E12" i="39"/>
  <c r="B13" i="39"/>
  <c r="C13" i="39"/>
  <c r="E13" i="39"/>
  <c r="F12" i="39" l="1"/>
  <c r="G12" i="39" s="1"/>
  <c r="F12" i="65"/>
  <c r="G12" i="65" s="1"/>
  <c r="B35" i="39"/>
  <c r="F34" i="39"/>
  <c r="B34" i="39"/>
  <c r="B27" i="39"/>
  <c r="C20" i="39"/>
  <c r="B20" i="39"/>
  <c r="E15" i="39"/>
  <c r="C15" i="39"/>
  <c r="B15" i="39"/>
  <c r="C11" i="39"/>
  <c r="B11" i="39"/>
  <c r="E10" i="39"/>
  <c r="C10" i="39"/>
  <c r="B10" i="39"/>
  <c r="C9" i="39"/>
  <c r="B9" i="39"/>
  <c r="E8" i="39"/>
  <c r="C8" i="39"/>
  <c r="B8" i="39"/>
  <c r="B18" i="6"/>
  <c r="B17" i="6"/>
  <c r="F35" i="39" l="1"/>
  <c r="E30" i="3" l="1"/>
  <c r="E33" i="3" l="1"/>
  <c r="D39" i="3"/>
  <c r="E39" i="3" s="1"/>
  <c r="E41" i="3" s="1"/>
  <c r="A1" i="3"/>
  <c r="B1" i="32"/>
  <c r="A25" i="35"/>
  <c r="A30" i="35"/>
  <c r="A27" i="35"/>
  <c r="A28" i="35"/>
  <c r="A23" i="35"/>
  <c r="A24" i="35"/>
  <c r="A22" i="35"/>
  <c r="B13" i="35"/>
  <c r="A13" i="35"/>
  <c r="F45" i="115" l="1"/>
  <c r="G45" i="115" s="1"/>
  <c r="G48" i="115" s="1"/>
  <c r="F29" i="116"/>
  <c r="G26" i="110"/>
  <c r="G29" i="110" s="1"/>
  <c r="F21" i="109"/>
  <c r="G21" i="109" s="1"/>
  <c r="G24" i="109" s="1"/>
  <c r="F25" i="108"/>
  <c r="G25" i="108" s="1"/>
  <c r="G28" i="108" s="1"/>
  <c r="F24" i="103"/>
  <c r="G24" i="103" s="1"/>
  <c r="G27" i="103" s="1"/>
  <c r="F26" i="99"/>
  <c r="G26" i="99" s="1"/>
  <c r="F28" i="101"/>
  <c r="G28" i="101" s="1"/>
  <c r="G31" i="101" s="1"/>
  <c r="F27" i="100"/>
  <c r="G27" i="100" s="1"/>
  <c r="G30" i="100" s="1"/>
  <c r="F25" i="104"/>
  <c r="G25" i="104" s="1"/>
  <c r="G28" i="104" s="1"/>
  <c r="F30" i="102"/>
  <c r="G30" i="102" s="1"/>
  <c r="G33" i="102" s="1"/>
  <c r="F21" i="105"/>
  <c r="G21" i="105" s="1"/>
  <c r="G24" i="105" s="1"/>
  <c r="F22" i="98"/>
  <c r="G22" i="98" s="1"/>
  <c r="G25" i="98" s="1"/>
  <c r="G18" i="114" s="1"/>
  <c r="F25" i="91"/>
  <c r="G25" i="91" s="1"/>
  <c r="F28" i="95"/>
  <c r="G28" i="95" s="1"/>
  <c r="G30" i="95" s="1"/>
  <c r="F20" i="96"/>
  <c r="G20" i="96" s="1"/>
  <c r="G22" i="96" s="1"/>
  <c r="F33" i="97"/>
  <c r="F22" i="94"/>
  <c r="G22" i="94" s="1"/>
  <c r="G24" i="94" s="1"/>
  <c r="F21" i="92"/>
  <c r="G21" i="92" s="1"/>
  <c r="G23" i="92" s="1"/>
  <c r="F25" i="90"/>
  <c r="G25" i="90" s="1"/>
  <c r="F22" i="87"/>
  <c r="G22" i="87" s="1"/>
  <c r="G25" i="87" s="1"/>
  <c r="F22" i="88"/>
  <c r="G22" i="88" s="1"/>
  <c r="G25" i="88" s="1"/>
  <c r="F22" i="86"/>
  <c r="G22" i="86" s="1"/>
  <c r="G25" i="86" s="1"/>
  <c r="F25" i="85"/>
  <c r="G25" i="85" s="1"/>
  <c r="G28" i="85" s="1"/>
  <c r="F36" i="79"/>
  <c r="G36" i="79" s="1"/>
  <c r="G39" i="79" s="1"/>
  <c r="F25" i="77"/>
  <c r="G25" i="77" s="1"/>
  <c r="G28" i="77" s="1"/>
  <c r="F30" i="76"/>
  <c r="G32" i="78"/>
  <c r="G35" i="78" s="1"/>
  <c r="F32" i="75"/>
  <c r="G32" i="75" s="1"/>
  <c r="G35" i="75" s="1"/>
  <c r="F22" i="73"/>
  <c r="G22" i="73" s="1"/>
  <c r="G25" i="73" s="1"/>
  <c r="F25" i="74"/>
  <c r="G25" i="74" s="1"/>
  <c r="G28" i="74" s="1"/>
  <c r="F32" i="72"/>
  <c r="G32" i="72" s="1"/>
  <c r="G35" i="72" s="1"/>
  <c r="F32" i="71"/>
  <c r="G32" i="71" s="1"/>
  <c r="G35" i="71" s="1"/>
  <c r="F31" i="70"/>
  <c r="G31" i="70" s="1"/>
  <c r="G34" i="70" s="1"/>
  <c r="F24" i="69"/>
  <c r="G24" i="69" s="1"/>
  <c r="G27" i="69" s="1"/>
  <c r="F35" i="68"/>
  <c r="F26" i="67"/>
  <c r="G26" i="67" s="1"/>
  <c r="G29" i="67" s="1"/>
  <c r="F37" i="66"/>
  <c r="G37" i="66" s="1"/>
  <c r="G40" i="66" s="1"/>
  <c r="F27" i="65"/>
  <c r="F40" i="43"/>
  <c r="G40" i="43" s="1"/>
  <c r="F27" i="99"/>
  <c r="G27" i="99" s="1"/>
  <c r="F26" i="91"/>
  <c r="G26" i="91" s="1"/>
  <c r="F26" i="90"/>
  <c r="G26" i="90" s="1"/>
  <c r="F22" i="89"/>
  <c r="G22" i="89" s="1"/>
  <c r="G25" i="89" s="1"/>
  <c r="F27" i="64"/>
  <c r="D11" i="19"/>
  <c r="D12" i="19"/>
  <c r="A1" i="35"/>
  <c r="M18" i="114" l="1"/>
  <c r="G22" i="5"/>
  <c r="M22" i="5" s="1"/>
  <c r="G22" i="114"/>
  <c r="M22" i="114" s="1"/>
  <c r="G24" i="5"/>
  <c r="M24" i="5" s="1"/>
  <c r="G24" i="114"/>
  <c r="M24" i="114" s="1"/>
  <c r="G21" i="5"/>
  <c r="M21" i="5" s="1"/>
  <c r="G21" i="114"/>
  <c r="M21" i="114" s="1"/>
  <c r="G20" i="5"/>
  <c r="M20" i="5" s="1"/>
  <c r="G20" i="114"/>
  <c r="M20" i="114" s="1"/>
  <c r="G23" i="5"/>
  <c r="M23" i="5" s="1"/>
  <c r="G23" i="114"/>
  <c r="M23" i="114" s="1"/>
  <c r="G28" i="5"/>
  <c r="M28" i="5" s="1"/>
  <c r="G28" i="114"/>
  <c r="M28" i="114" s="1"/>
  <c r="G30" i="5"/>
  <c r="M30" i="5" s="1"/>
  <c r="G30" i="114"/>
  <c r="M30" i="114" s="1"/>
  <c r="G26" i="5"/>
  <c r="M26" i="5" s="1"/>
  <c r="G26" i="114"/>
  <c r="M26" i="114" s="1"/>
  <c r="G25" i="5"/>
  <c r="M25" i="5" s="1"/>
  <c r="G25" i="114"/>
  <c r="M25" i="114" s="1"/>
  <c r="G27" i="5"/>
  <c r="M27" i="5" s="1"/>
  <c r="G27" i="114"/>
  <c r="M27" i="114" s="1"/>
  <c r="G28" i="90"/>
  <c r="G28" i="91"/>
  <c r="G29" i="99"/>
  <c r="G18" i="5"/>
  <c r="D9" i="35"/>
  <c r="G16" i="5" l="1"/>
  <c r="M16" i="5" s="1"/>
  <c r="G16" i="114"/>
  <c r="M16" i="114" s="1"/>
  <c r="G19" i="5"/>
  <c r="M19" i="5" s="1"/>
  <c r="G19" i="114"/>
  <c r="M19" i="114" s="1"/>
  <c r="M18" i="5"/>
  <c r="F27" i="39"/>
  <c r="F39" i="43"/>
  <c r="G39" i="43" s="1"/>
  <c r="G42" i="43" s="1"/>
  <c r="D5" i="34"/>
  <c r="D6" i="34"/>
  <c r="D4" i="34"/>
  <c r="D7" i="34"/>
  <c r="E9" i="21" l="1"/>
  <c r="E10" i="21"/>
  <c r="E11" i="21"/>
  <c r="E12" i="21"/>
  <c r="E13" i="21"/>
  <c r="E14" i="21"/>
  <c r="E17" i="21"/>
  <c r="E18" i="21"/>
  <c r="E19" i="21"/>
  <c r="E20" i="21"/>
  <c r="E21" i="21"/>
  <c r="E23" i="21"/>
  <c r="E24" i="21"/>
  <c r="B9" i="21"/>
  <c r="C9" i="21"/>
  <c r="B10" i="21"/>
  <c r="C10" i="21"/>
  <c r="B11" i="21"/>
  <c r="C11" i="21"/>
  <c r="B12" i="21"/>
  <c r="C12" i="21"/>
  <c r="B13" i="21"/>
  <c r="C13" i="21"/>
  <c r="B14" i="21"/>
  <c r="C14" i="21"/>
  <c r="B17" i="21"/>
  <c r="C17" i="21"/>
  <c r="B18" i="21"/>
  <c r="C18" i="21"/>
  <c r="B19" i="21"/>
  <c r="C19" i="21"/>
  <c r="B20" i="21"/>
  <c r="C20" i="21"/>
  <c r="B21" i="21"/>
  <c r="C21" i="21"/>
  <c r="B22" i="21"/>
  <c r="C22" i="21"/>
  <c r="B23" i="21"/>
  <c r="C23" i="21"/>
  <c r="B24" i="21"/>
  <c r="C24" i="21"/>
  <c r="E8" i="21"/>
  <c r="C8" i="21"/>
  <c r="B8" i="21"/>
  <c r="B44" i="21"/>
  <c r="B43" i="21"/>
  <c r="F36" i="21"/>
  <c r="B36" i="21"/>
  <c r="F43" i="21"/>
  <c r="C29" i="21"/>
  <c r="B29" i="21"/>
  <c r="B1" i="21"/>
  <c r="B16" i="20"/>
  <c r="C16" i="20"/>
  <c r="D16" i="20"/>
  <c r="G16" i="20" s="1"/>
  <c r="F22" i="20"/>
  <c r="B22" i="20"/>
  <c r="C15" i="20"/>
  <c r="B15" i="20"/>
  <c r="B1" i="20"/>
  <c r="E12" i="19"/>
  <c r="E21" i="19"/>
  <c r="E19" i="19"/>
  <c r="E18" i="19"/>
  <c r="E16" i="19"/>
  <c r="E14" i="19"/>
  <c r="E13" i="19"/>
  <c r="E11" i="19"/>
  <c r="E20" i="19"/>
  <c r="B9" i="19"/>
  <c r="C9" i="19"/>
  <c r="B10" i="19"/>
  <c r="C10" i="19"/>
  <c r="B11" i="19"/>
  <c r="C11" i="19"/>
  <c r="B12" i="19"/>
  <c r="C12" i="19"/>
  <c r="B13" i="19"/>
  <c r="C13" i="19"/>
  <c r="B14" i="19"/>
  <c r="C14" i="19"/>
  <c r="B16" i="19"/>
  <c r="C16" i="19"/>
  <c r="B18" i="19"/>
  <c r="C18" i="19"/>
  <c r="B19" i="19"/>
  <c r="C19" i="19"/>
  <c r="B20" i="19"/>
  <c r="C20" i="19"/>
  <c r="B21" i="19"/>
  <c r="C21" i="19"/>
  <c r="B41" i="19"/>
  <c r="B40" i="19"/>
  <c r="F33" i="19"/>
  <c r="B33" i="19"/>
  <c r="C26" i="19"/>
  <c r="B26" i="19"/>
  <c r="E10" i="19"/>
  <c r="E9" i="19"/>
  <c r="E8" i="19"/>
  <c r="C8" i="19"/>
  <c r="B8" i="19"/>
  <c r="B1" i="19"/>
  <c r="F18" i="18"/>
  <c r="F44" i="21" l="1"/>
  <c r="G11" i="20"/>
  <c r="E15" i="62" s="1"/>
  <c r="K15" i="62" s="1"/>
  <c r="D22" i="20"/>
  <c r="G22" i="20" s="1"/>
  <c r="G25" i="20" s="1"/>
  <c r="D33" i="19"/>
  <c r="G33" i="19" s="1"/>
  <c r="G36" i="19" s="1"/>
  <c r="G15" i="62" l="1"/>
  <c r="G17" i="62"/>
  <c r="M17" i="62" s="1"/>
  <c r="G14" i="114"/>
  <c r="M14" i="114" s="1"/>
  <c r="B33" i="18"/>
  <c r="B32" i="18"/>
  <c r="F25" i="18"/>
  <c r="B25" i="18"/>
  <c r="F32" i="18"/>
  <c r="C18" i="18"/>
  <c r="B18" i="18"/>
  <c r="E13" i="18"/>
  <c r="C13" i="18"/>
  <c r="B13" i="18"/>
  <c r="E12" i="18"/>
  <c r="C12" i="18"/>
  <c r="B12" i="18"/>
  <c r="E11" i="18"/>
  <c r="C11" i="18"/>
  <c r="B11" i="18"/>
  <c r="E10" i="18"/>
  <c r="C10" i="18"/>
  <c r="B10" i="18"/>
  <c r="E9" i="18"/>
  <c r="C9" i="18"/>
  <c r="B9" i="18"/>
  <c r="E8" i="18"/>
  <c r="C8" i="18"/>
  <c r="B8" i="18"/>
  <c r="G9" i="5" l="1"/>
  <c r="M9" i="5" s="1"/>
  <c r="G9" i="114"/>
  <c r="M9" i="114" s="1"/>
  <c r="G14" i="5"/>
  <c r="M14" i="5" s="1"/>
  <c r="M15" i="62"/>
  <c r="D25" i="18"/>
  <c r="G25" i="18" s="1"/>
  <c r="G28" i="18" s="1"/>
  <c r="F33" i="18"/>
  <c r="G8" i="114" l="1"/>
  <c r="M8" i="114" s="1"/>
  <c r="G12" i="62"/>
  <c r="M12" i="62" s="1"/>
  <c r="E24" i="17"/>
  <c r="E22" i="17"/>
  <c r="B20" i="17"/>
  <c r="C20" i="17"/>
  <c r="F29" i="17"/>
  <c r="F43" i="17" s="1"/>
  <c r="C24" i="17"/>
  <c r="B9" i="17"/>
  <c r="C9" i="17"/>
  <c r="B10" i="17"/>
  <c r="C10" i="17"/>
  <c r="B11" i="17"/>
  <c r="C11" i="17"/>
  <c r="B12" i="17"/>
  <c r="C12" i="17"/>
  <c r="B13" i="17"/>
  <c r="C13" i="17"/>
  <c r="B14" i="17"/>
  <c r="C14" i="17"/>
  <c r="B15" i="17"/>
  <c r="C15" i="17"/>
  <c r="B16" i="17"/>
  <c r="C16" i="17"/>
  <c r="B17" i="17"/>
  <c r="C17" i="17"/>
  <c r="B18" i="17"/>
  <c r="C18" i="17"/>
  <c r="B19" i="17"/>
  <c r="C19" i="17"/>
  <c r="B21" i="17"/>
  <c r="C21" i="17"/>
  <c r="B22" i="17"/>
  <c r="C22" i="17"/>
  <c r="B44" i="17"/>
  <c r="B43" i="17"/>
  <c r="F36" i="17"/>
  <c r="B36" i="17"/>
  <c r="C29" i="17"/>
  <c r="B29" i="17"/>
  <c r="E8" i="17"/>
  <c r="C8" i="17"/>
  <c r="B8" i="17"/>
  <c r="F15" i="16"/>
  <c r="F29" i="16" s="1"/>
  <c r="B30" i="16"/>
  <c r="B29" i="16"/>
  <c r="F22" i="16"/>
  <c r="B22" i="16"/>
  <c r="C15" i="16"/>
  <c r="B15" i="16"/>
  <c r="E8" i="16"/>
  <c r="D22" i="16" s="1"/>
  <c r="C8" i="16"/>
  <c r="B8" i="16"/>
  <c r="A7" i="34" s="1"/>
  <c r="B9" i="15"/>
  <c r="C9" i="15"/>
  <c r="E9" i="15"/>
  <c r="G22" i="16" l="1"/>
  <c r="G25" i="16" s="1"/>
  <c r="F44" i="17"/>
  <c r="F30" i="16"/>
  <c r="G11" i="62" l="1"/>
  <c r="M11" i="62" s="1"/>
  <c r="F15" i="15"/>
  <c r="B30" i="15"/>
  <c r="B29" i="15"/>
  <c r="F22" i="15"/>
  <c r="B22" i="15"/>
  <c r="F29" i="15"/>
  <c r="C15" i="15"/>
  <c r="B15" i="15"/>
  <c r="E8" i="15"/>
  <c r="D22" i="15" s="1"/>
  <c r="C8" i="15"/>
  <c r="B8" i="15"/>
  <c r="A5" i="34" s="1"/>
  <c r="F15" i="14"/>
  <c r="F30" i="14" s="1"/>
  <c r="B30" i="14"/>
  <c r="B29" i="14"/>
  <c r="F22" i="14"/>
  <c r="B22" i="14"/>
  <c r="C15" i="14"/>
  <c r="B15" i="14"/>
  <c r="E8" i="14"/>
  <c r="C8" i="14"/>
  <c r="B8" i="14"/>
  <c r="A6" i="34" s="1"/>
  <c r="G22" i="15" l="1"/>
  <c r="G25" i="15" s="1"/>
  <c r="F29" i="14"/>
  <c r="F30" i="15"/>
  <c r="G10" i="62" l="1"/>
  <c r="M10" i="62" s="1"/>
  <c r="B11" i="7" l="1"/>
  <c r="C11" i="7"/>
  <c r="F25" i="7"/>
  <c r="B25" i="7"/>
  <c r="B33" i="7"/>
  <c r="B32" i="7"/>
  <c r="C18" i="7"/>
  <c r="B18" i="7"/>
  <c r="B13" i="7"/>
  <c r="C13" i="7"/>
  <c r="B10" i="7"/>
  <c r="C10" i="7"/>
  <c r="E375" i="10"/>
  <c r="E13" i="116" s="1"/>
  <c r="D29" i="116" s="1"/>
  <c r="G29" i="116" s="1"/>
  <c r="G32" i="116" s="1"/>
  <c r="F13" i="116"/>
  <c r="G13" i="116" s="1"/>
  <c r="F14" i="116"/>
  <c r="G14" i="116" s="1"/>
  <c r="F15" i="116"/>
  <c r="G15" i="116" s="1"/>
  <c r="B9" i="7"/>
  <c r="C9" i="7"/>
  <c r="B8" i="7"/>
  <c r="A4" i="34" s="1"/>
  <c r="C8" i="7"/>
  <c r="A1" i="10"/>
  <c r="F9" i="89"/>
  <c r="G9" i="89" s="1"/>
  <c r="F10" i="64"/>
  <c r="G10" i="64" s="1"/>
  <c r="F15" i="102"/>
  <c r="G15" i="102" s="1"/>
  <c r="F12" i="102"/>
  <c r="G12" i="102" s="1"/>
  <c r="F13" i="104"/>
  <c r="G13" i="104" s="1"/>
  <c r="F11" i="108"/>
  <c r="G11" i="108" s="1"/>
  <c r="F8" i="64"/>
  <c r="F8" i="78"/>
  <c r="G8" i="78" s="1"/>
  <c r="F14" i="78"/>
  <c r="G14" i="78" s="1"/>
  <c r="F13" i="78"/>
  <c r="G13" i="78" s="1"/>
  <c r="F10" i="78"/>
  <c r="G10" i="78" s="1"/>
  <c r="E331" i="10"/>
  <c r="F20" i="79"/>
  <c r="G20" i="79" s="1"/>
  <c r="F24" i="79"/>
  <c r="G24" i="79" s="1"/>
  <c r="F22" i="79"/>
  <c r="G22" i="79" s="1"/>
  <c r="F21" i="79"/>
  <c r="G21" i="79" s="1"/>
  <c r="F9" i="108"/>
  <c r="G9" i="108" s="1"/>
  <c r="F8" i="108"/>
  <c r="G8" i="108" s="1"/>
  <c r="F14" i="110"/>
  <c r="G14" i="110" s="1"/>
  <c r="F13" i="110"/>
  <c r="G13" i="110" s="1"/>
  <c r="F12" i="110"/>
  <c r="G12" i="110" s="1"/>
  <c r="F11" i="110"/>
  <c r="G11" i="110" s="1"/>
  <c r="F10" i="110"/>
  <c r="G10" i="110" s="1"/>
  <c r="F9" i="110"/>
  <c r="G9" i="110" s="1"/>
  <c r="F8" i="110"/>
  <c r="G8" i="110" s="1"/>
  <c r="F18" i="115"/>
  <c r="G18" i="115" s="1"/>
  <c r="F22" i="66"/>
  <c r="G22" i="66" s="1"/>
  <c r="F9" i="86"/>
  <c r="G9" i="86" s="1"/>
  <c r="E208" i="10"/>
  <c r="E15" i="97" s="1"/>
  <c r="D33" i="97" s="1"/>
  <c r="G33" i="97" s="1"/>
  <c r="G35" i="97" s="1"/>
  <c r="F15" i="43"/>
  <c r="G15" i="43" s="1"/>
  <c r="F16" i="43" s="1"/>
  <c r="G16" i="43" s="1"/>
  <c r="F16" i="115"/>
  <c r="G16" i="115" s="1"/>
  <c r="F14" i="115"/>
  <c r="G14" i="115" s="1"/>
  <c r="F14" i="66"/>
  <c r="G14" i="66" s="1"/>
  <c r="F12" i="115"/>
  <c r="G12" i="115" s="1"/>
  <c r="F11" i="115"/>
  <c r="G11" i="115" s="1"/>
  <c r="F8" i="115"/>
  <c r="G8" i="115" s="1"/>
  <c r="E138" i="10"/>
  <c r="F16" i="79"/>
  <c r="G16" i="79" s="1"/>
  <c r="F15" i="79"/>
  <c r="G15" i="79" s="1"/>
  <c r="F13" i="79"/>
  <c r="G13" i="79" s="1"/>
  <c r="F12" i="79"/>
  <c r="G12" i="79" s="1"/>
  <c r="F10" i="79"/>
  <c r="G10" i="79" s="1"/>
  <c r="F9" i="79"/>
  <c r="G9" i="79" s="1"/>
  <c r="F8" i="79"/>
  <c r="G8" i="79" s="1"/>
  <c r="F12" i="68"/>
  <c r="G12" i="68" s="1"/>
  <c r="F11" i="68"/>
  <c r="G11" i="68" s="1"/>
  <c r="E110" i="10"/>
  <c r="E10" i="68" s="1"/>
  <c r="D35" i="68" s="1"/>
  <c r="G35" i="68" s="1"/>
  <c r="G38" i="68" s="1"/>
  <c r="F12" i="91"/>
  <c r="G12" i="91" s="1"/>
  <c r="F12" i="90"/>
  <c r="G12" i="90" s="1"/>
  <c r="F9" i="92"/>
  <c r="G9" i="92" s="1"/>
  <c r="F8" i="92"/>
  <c r="G8" i="92" s="1"/>
  <c r="F12" i="99"/>
  <c r="G12" i="99" s="1"/>
  <c r="F9" i="99"/>
  <c r="G9" i="99" s="1"/>
  <c r="F10" i="99"/>
  <c r="G10" i="99" s="1"/>
  <c r="E88" i="10"/>
  <c r="E17" i="76" s="1"/>
  <c r="E87" i="10"/>
  <c r="F12" i="76"/>
  <c r="G12" i="76" s="1"/>
  <c r="F11" i="76"/>
  <c r="G11" i="76" s="1"/>
  <c r="F10" i="76"/>
  <c r="G10" i="76" s="1"/>
  <c r="F10" i="115"/>
  <c r="G10" i="115" s="1"/>
  <c r="F18" i="79"/>
  <c r="G18" i="79" s="1"/>
  <c r="F19" i="79"/>
  <c r="G19" i="79" s="1"/>
  <c r="F19" i="68"/>
  <c r="G19" i="68" s="1"/>
  <c r="E49" i="10"/>
  <c r="E43" i="10"/>
  <c r="F8" i="69"/>
  <c r="F9" i="68"/>
  <c r="G9" i="68" s="1"/>
  <c r="F8" i="67"/>
  <c r="F17" i="115"/>
  <c r="G17" i="115" s="1"/>
  <c r="F10" i="86"/>
  <c r="G10" i="86" s="1"/>
  <c r="B31" i="6"/>
  <c r="B30" i="6"/>
  <c r="F4" i="6"/>
  <c r="B4" i="6"/>
  <c r="C3" i="6"/>
  <c r="B1" i="6"/>
  <c r="A2" i="4"/>
  <c r="F33" i="4"/>
  <c r="G33" i="4" s="1"/>
  <c r="F32" i="4"/>
  <c r="G32" i="4" s="1"/>
  <c r="F31" i="4"/>
  <c r="G31" i="4" s="1"/>
  <c r="F30" i="4"/>
  <c r="G30" i="4" s="1"/>
  <c r="F29" i="4"/>
  <c r="G29" i="4" s="1"/>
  <c r="F28" i="4"/>
  <c r="G28" i="4" s="1"/>
  <c r="F27" i="4"/>
  <c r="G27" i="4" s="1"/>
  <c r="F26" i="4"/>
  <c r="G26" i="4" s="1"/>
  <c r="F25" i="4"/>
  <c r="G25" i="4" s="1"/>
  <c r="F24" i="4"/>
  <c r="G24" i="4" s="1"/>
  <c r="F23" i="4"/>
  <c r="G23" i="4" s="1"/>
  <c r="F22" i="4"/>
  <c r="G22" i="4" s="1"/>
  <c r="F21" i="4"/>
  <c r="G21" i="4" s="1"/>
  <c r="F20" i="4"/>
  <c r="G20" i="4" s="1"/>
  <c r="F19" i="4"/>
  <c r="G19" i="4" s="1"/>
  <c r="F18" i="4"/>
  <c r="G18" i="4" s="1"/>
  <c r="F17" i="4"/>
  <c r="G17" i="4" s="1"/>
  <c r="F16" i="4"/>
  <c r="G16" i="4" s="1"/>
  <c r="F15" i="4"/>
  <c r="G15" i="4" s="1"/>
  <c r="J14" i="4"/>
  <c r="J15" i="4" s="1"/>
  <c r="J16" i="4" s="1"/>
  <c r="J17" i="4" s="1"/>
  <c r="J18" i="4" s="1"/>
  <c r="J19" i="4" s="1"/>
  <c r="J20" i="4" s="1"/>
  <c r="J21" i="4" s="1"/>
  <c r="J22" i="4" s="1"/>
  <c r="J23" i="4" s="1"/>
  <c r="J24" i="4" s="1"/>
  <c r="J25" i="4" s="1"/>
  <c r="J26" i="4" s="1"/>
  <c r="J27" i="4" s="1"/>
  <c r="J28" i="4" s="1"/>
  <c r="J29" i="4" s="1"/>
  <c r="J30" i="4" s="1"/>
  <c r="J31" i="4" s="1"/>
  <c r="F14" i="4"/>
  <c r="G14" i="4" s="1"/>
  <c r="F13" i="4"/>
  <c r="G13" i="4" s="1"/>
  <c r="E13" i="4" s="1"/>
  <c r="C8" i="4"/>
  <c r="F5" i="2"/>
  <c r="D58" i="1"/>
  <c r="F58" i="1" s="1"/>
  <c r="D57" i="1"/>
  <c r="F57" i="1" s="1"/>
  <c r="D56" i="1"/>
  <c r="F56" i="1" s="1"/>
  <c r="D55" i="1"/>
  <c r="F55" i="1" s="1"/>
  <c r="D54" i="1"/>
  <c r="F54" i="1" s="1"/>
  <c r="D53" i="1"/>
  <c r="F53" i="1" s="1"/>
  <c r="D52" i="1"/>
  <c r="F52" i="1" s="1"/>
  <c r="D51" i="1"/>
  <c r="F51" i="1" s="1"/>
  <c r="D50" i="1"/>
  <c r="F50" i="1" s="1"/>
  <c r="D49" i="1"/>
  <c r="F49" i="1" s="1"/>
  <c r="D48" i="1"/>
  <c r="F48" i="1" s="1"/>
  <c r="D47" i="1"/>
  <c r="F47" i="1" s="1"/>
  <c r="D46" i="1"/>
  <c r="F46" i="1" s="1"/>
  <c r="D45" i="1"/>
  <c r="F45" i="1" s="1"/>
  <c r="D44" i="1"/>
  <c r="F44" i="1" s="1"/>
  <c r="D43" i="1"/>
  <c r="F43" i="1" s="1"/>
  <c r="D42" i="1"/>
  <c r="F42" i="1" s="1"/>
  <c r="D41" i="1"/>
  <c r="F41" i="1" s="1"/>
  <c r="D40" i="1"/>
  <c r="F40" i="1" s="1"/>
  <c r="D39" i="1"/>
  <c r="F39" i="1" s="1"/>
  <c r="D38" i="1"/>
  <c r="F38" i="1" s="1"/>
  <c r="D37" i="1"/>
  <c r="F37" i="1" s="1"/>
  <c r="D36" i="1"/>
  <c r="F36" i="1" s="1"/>
  <c r="D35" i="1"/>
  <c r="F35" i="1" s="1"/>
  <c r="D34" i="1"/>
  <c r="F34" i="1" s="1"/>
  <c r="D33" i="1"/>
  <c r="F33" i="1" s="1"/>
  <c r="D32" i="1"/>
  <c r="F32" i="1" s="1"/>
  <c r="D31" i="1"/>
  <c r="F31" i="1" s="1"/>
  <c r="D30" i="1"/>
  <c r="F30" i="1" s="1"/>
  <c r="D23" i="1"/>
  <c r="C22" i="1"/>
  <c r="D22" i="1" s="1"/>
  <c r="C21" i="1"/>
  <c r="D20" i="1"/>
  <c r="D19" i="1"/>
  <c r="D18" i="1"/>
  <c r="D17" i="1"/>
  <c r="D16" i="1"/>
  <c r="C15" i="1"/>
  <c r="F20" i="64" s="1"/>
  <c r="D14" i="1"/>
  <c r="D13" i="1"/>
  <c r="D38" i="115" l="1"/>
  <c r="G38" i="115" s="1"/>
  <c r="G41" i="115" s="1"/>
  <c r="D22" i="116"/>
  <c r="G22" i="116" s="1"/>
  <c r="G25" i="116" s="1"/>
  <c r="F13" i="67"/>
  <c r="G13" i="67" s="1"/>
  <c r="F11" i="67"/>
  <c r="G11" i="67" s="1"/>
  <c r="G13" i="114"/>
  <c r="M13" i="114" s="1"/>
  <c r="F18" i="102"/>
  <c r="G18" i="102" s="1"/>
  <c r="F12" i="104"/>
  <c r="G12" i="104" s="1"/>
  <c r="G8" i="69"/>
  <c r="E12" i="34"/>
  <c r="F12" i="34" s="1"/>
  <c r="G8" i="64"/>
  <c r="E9" i="34"/>
  <c r="F9" i="34" s="1"/>
  <c r="G19" i="110"/>
  <c r="G22" i="110" s="1"/>
  <c r="D14" i="109"/>
  <c r="G14" i="109" s="1"/>
  <c r="G17" i="109" s="1"/>
  <c r="D18" i="108"/>
  <c r="G18" i="108" s="1"/>
  <c r="G21" i="108" s="1"/>
  <c r="D23" i="102"/>
  <c r="G23" i="102" s="1"/>
  <c r="G26" i="102" s="1"/>
  <c r="D20" i="100"/>
  <c r="G20" i="100" s="1"/>
  <c r="G23" i="100" s="1"/>
  <c r="D18" i="104"/>
  <c r="G18" i="104" s="1"/>
  <c r="G21" i="104" s="1"/>
  <c r="D19" i="99"/>
  <c r="G19" i="99" s="1"/>
  <c r="G22" i="99" s="1"/>
  <c r="D15" i="98"/>
  <c r="G15" i="98" s="1"/>
  <c r="G18" i="98" s="1"/>
  <c r="F18" i="114" s="1"/>
  <c r="D14" i="105"/>
  <c r="G14" i="105" s="1"/>
  <c r="G17" i="105" s="1"/>
  <c r="D17" i="103"/>
  <c r="G17" i="103" s="1"/>
  <c r="G20" i="103" s="1"/>
  <c r="D21" i="101"/>
  <c r="G21" i="101" s="1"/>
  <c r="G24" i="101" s="1"/>
  <c r="D22" i="95"/>
  <c r="G22" i="95" s="1"/>
  <c r="G24" i="95" s="1"/>
  <c r="D14" i="96"/>
  <c r="G14" i="96" s="1"/>
  <c r="G16" i="96" s="1"/>
  <c r="D27" i="97"/>
  <c r="G27" i="97" s="1"/>
  <c r="G29" i="97" s="1"/>
  <c r="F35" i="64"/>
  <c r="F34" i="64"/>
  <c r="G8" i="67"/>
  <c r="E11" i="34"/>
  <c r="F11" i="34" s="1"/>
  <c r="G15" i="110"/>
  <c r="E28" i="114" s="1"/>
  <c r="F14" i="76"/>
  <c r="G14" i="76" s="1"/>
  <c r="F8" i="109"/>
  <c r="G8" i="109" s="1"/>
  <c r="G10" i="109" s="1"/>
  <c r="E27" i="114" s="1"/>
  <c r="F14" i="102"/>
  <c r="G14" i="102" s="1"/>
  <c r="F10" i="108"/>
  <c r="G10" i="108" s="1"/>
  <c r="G14" i="108" s="1"/>
  <c r="E26" i="114" s="1"/>
  <c r="F10" i="103"/>
  <c r="G10" i="103" s="1"/>
  <c r="F10" i="104"/>
  <c r="G10" i="104" s="1"/>
  <c r="F11" i="103"/>
  <c r="G11" i="103" s="1"/>
  <c r="F11" i="104"/>
  <c r="G11" i="104" s="1"/>
  <c r="F8" i="105"/>
  <c r="G8" i="105" s="1"/>
  <c r="G10" i="105" s="1"/>
  <c r="E25" i="114" s="1"/>
  <c r="F9" i="103"/>
  <c r="G9" i="103" s="1"/>
  <c r="F9" i="104"/>
  <c r="G9" i="104" s="1"/>
  <c r="F8" i="103"/>
  <c r="G8" i="103" s="1"/>
  <c r="F15" i="100"/>
  <c r="G15" i="100" s="1"/>
  <c r="F17" i="102"/>
  <c r="G17" i="102" s="1"/>
  <c r="F16" i="101"/>
  <c r="G16" i="101" s="1"/>
  <c r="F8" i="100"/>
  <c r="G8" i="100" s="1"/>
  <c r="F8" i="102"/>
  <c r="G8" i="102" s="1"/>
  <c r="F8" i="101"/>
  <c r="G8" i="101" s="1"/>
  <c r="F10" i="100"/>
  <c r="G10" i="100" s="1"/>
  <c r="F10" i="101"/>
  <c r="G10" i="101" s="1"/>
  <c r="F10" i="102"/>
  <c r="G10" i="102" s="1"/>
  <c r="F9" i="100"/>
  <c r="G9" i="100" s="1"/>
  <c r="F9" i="102"/>
  <c r="G9" i="102" s="1"/>
  <c r="F9" i="101"/>
  <c r="G9" i="101" s="1"/>
  <c r="F11" i="100"/>
  <c r="G11" i="100" s="1"/>
  <c r="F11" i="102"/>
  <c r="G11" i="102" s="1"/>
  <c r="F11" i="101"/>
  <c r="G11" i="101" s="1"/>
  <c r="F13" i="100"/>
  <c r="G13" i="100" s="1"/>
  <c r="F16" i="102"/>
  <c r="G16" i="102" s="1"/>
  <c r="F13" i="101"/>
  <c r="G13" i="101" s="1"/>
  <c r="F12" i="100"/>
  <c r="G12" i="100" s="1"/>
  <c r="F12" i="101"/>
  <c r="G12" i="101" s="1"/>
  <c r="F13" i="102"/>
  <c r="G13" i="102" s="1"/>
  <c r="F10" i="91"/>
  <c r="G10" i="91" s="1"/>
  <c r="F11" i="99"/>
  <c r="G11" i="99" s="1"/>
  <c r="F13" i="99" s="1"/>
  <c r="G13" i="99" s="1"/>
  <c r="G15" i="99" s="1"/>
  <c r="E19" i="114" s="1"/>
  <c r="F18" i="97"/>
  <c r="G18" i="97" s="1"/>
  <c r="F9" i="96"/>
  <c r="G9" i="96" s="1"/>
  <c r="G10" i="96" s="1"/>
  <c r="F9" i="94"/>
  <c r="G9" i="94" s="1"/>
  <c r="F17" i="95"/>
  <c r="G17" i="95" s="1"/>
  <c r="F10" i="94"/>
  <c r="G10" i="94" s="1"/>
  <c r="D16" i="94"/>
  <c r="G16" i="94" s="1"/>
  <c r="G18" i="94" s="1"/>
  <c r="D15" i="92"/>
  <c r="G15" i="92" s="1"/>
  <c r="G17" i="92" s="1"/>
  <c r="F8" i="90"/>
  <c r="G8" i="90" s="1"/>
  <c r="F8" i="91"/>
  <c r="G8" i="91" s="1"/>
  <c r="F11" i="90"/>
  <c r="G11" i="90" s="1"/>
  <c r="F11" i="91"/>
  <c r="G11" i="91" s="1"/>
  <c r="F9" i="90"/>
  <c r="G9" i="90" s="1"/>
  <c r="F9" i="91"/>
  <c r="G9" i="91" s="1"/>
  <c r="G11" i="92"/>
  <c r="D18" i="90"/>
  <c r="G18" i="90" s="1"/>
  <c r="G21" i="90" s="1"/>
  <c r="D18" i="91"/>
  <c r="G18" i="91" s="1"/>
  <c r="G21" i="91" s="1"/>
  <c r="F8" i="89"/>
  <c r="G8" i="89" s="1"/>
  <c r="G11" i="89" s="1"/>
  <c r="F10" i="90"/>
  <c r="G10" i="90" s="1"/>
  <c r="F8" i="68"/>
  <c r="D15" i="89"/>
  <c r="G15" i="89" s="1"/>
  <c r="G18" i="89" s="1"/>
  <c r="D15" i="88"/>
  <c r="G15" i="88" s="1"/>
  <c r="G18" i="88" s="1"/>
  <c r="D15" i="87"/>
  <c r="G15" i="87" s="1"/>
  <c r="G18" i="87" s="1"/>
  <c r="D15" i="86"/>
  <c r="G15" i="86" s="1"/>
  <c r="G18" i="86" s="1"/>
  <c r="D18" i="85"/>
  <c r="G18" i="85" s="1"/>
  <c r="G21" i="85" s="1"/>
  <c r="D29" i="79"/>
  <c r="G29" i="79" s="1"/>
  <c r="G32" i="79" s="1"/>
  <c r="D23" i="76"/>
  <c r="G23" i="76" s="1"/>
  <c r="G26" i="76" s="1"/>
  <c r="G25" i="78"/>
  <c r="F30" i="114" s="1"/>
  <c r="L30" i="114" s="1"/>
  <c r="D18" i="77"/>
  <c r="G18" i="77" s="1"/>
  <c r="G21" i="77" s="1"/>
  <c r="D25" i="75"/>
  <c r="G25" i="75" s="1"/>
  <c r="G28" i="75" s="1"/>
  <c r="D15" i="73"/>
  <c r="G15" i="73" s="1"/>
  <c r="G18" i="73" s="1"/>
  <c r="D18" i="74"/>
  <c r="G18" i="74" s="1"/>
  <c r="G21" i="74" s="1"/>
  <c r="D25" i="72"/>
  <c r="G25" i="72" s="1"/>
  <c r="G28" i="72" s="1"/>
  <c r="D25" i="71"/>
  <c r="G25" i="71" s="1"/>
  <c r="G28" i="71" s="1"/>
  <c r="D24" i="70"/>
  <c r="G24" i="70" s="1"/>
  <c r="G27" i="70" s="1"/>
  <c r="D28" i="68"/>
  <c r="G28" i="68" s="1"/>
  <c r="G31" i="68" s="1"/>
  <c r="D17" i="69"/>
  <c r="G17" i="69" s="1"/>
  <c r="G20" i="69" s="1"/>
  <c r="D20" i="65"/>
  <c r="G20" i="65" s="1"/>
  <c r="G23" i="65" s="1"/>
  <c r="D30" i="66"/>
  <c r="G30" i="66" s="1"/>
  <c r="G33" i="66" s="1"/>
  <c r="D19" i="67"/>
  <c r="G19" i="67" s="1"/>
  <c r="G22" i="67" s="1"/>
  <c r="D20" i="64"/>
  <c r="G20" i="64" s="1"/>
  <c r="G23" i="64" s="1"/>
  <c r="F8" i="76"/>
  <c r="G8" i="76" s="1"/>
  <c r="F10" i="85"/>
  <c r="G10" i="85" s="1"/>
  <c r="F9" i="76"/>
  <c r="G9" i="76" s="1"/>
  <c r="F11" i="85"/>
  <c r="G11" i="85" s="1"/>
  <c r="F8" i="77"/>
  <c r="G8" i="77" s="1"/>
  <c r="F8" i="85"/>
  <c r="G8" i="85" s="1"/>
  <c r="F11" i="77"/>
  <c r="G11" i="77" s="1"/>
  <c r="F9" i="77"/>
  <c r="G9" i="77" s="1"/>
  <c r="F9" i="85"/>
  <c r="G9" i="85" s="1"/>
  <c r="F14" i="64"/>
  <c r="G14" i="64" s="1"/>
  <c r="F17" i="70"/>
  <c r="G17" i="70" s="1"/>
  <c r="F14" i="79"/>
  <c r="G14" i="79" s="1"/>
  <c r="F8" i="70"/>
  <c r="G8" i="70" s="1"/>
  <c r="F18" i="70"/>
  <c r="G18" i="70" s="1"/>
  <c r="F12" i="70"/>
  <c r="G12" i="70" s="1"/>
  <c r="F16" i="70"/>
  <c r="G16" i="70" s="1"/>
  <c r="F19" i="70"/>
  <c r="G19" i="70" s="1"/>
  <c r="F14" i="71"/>
  <c r="G14" i="71" s="1"/>
  <c r="F23" i="79"/>
  <c r="G23" i="79" s="1"/>
  <c r="F10" i="71"/>
  <c r="G10" i="71" s="1"/>
  <c r="F12" i="71"/>
  <c r="G12" i="71" s="1"/>
  <c r="E16" i="76"/>
  <c r="D30" i="76" s="1"/>
  <c r="G30" i="76" s="1"/>
  <c r="G33" i="76" s="1"/>
  <c r="F9" i="72"/>
  <c r="G9" i="72" s="1"/>
  <c r="F11" i="79"/>
  <c r="G11" i="79" s="1"/>
  <c r="F13" i="76"/>
  <c r="G13" i="76" s="1"/>
  <c r="F17" i="79"/>
  <c r="G17" i="79" s="1"/>
  <c r="F13" i="65"/>
  <c r="G13" i="65" s="1"/>
  <c r="F13" i="74"/>
  <c r="G13" i="74" s="1"/>
  <c r="F13" i="77"/>
  <c r="G13" i="77" s="1"/>
  <c r="F17" i="75"/>
  <c r="G17" i="75" s="1"/>
  <c r="F17" i="78"/>
  <c r="G17" i="78" s="1"/>
  <c r="F15" i="78"/>
  <c r="G15" i="78" s="1"/>
  <c r="F15" i="75"/>
  <c r="G15" i="75" s="1"/>
  <c r="F16" i="78"/>
  <c r="G16" i="78" s="1"/>
  <c r="F16" i="75"/>
  <c r="G16" i="75" s="1"/>
  <c r="F18" i="75"/>
  <c r="G18" i="75" s="1"/>
  <c r="F18" i="78"/>
  <c r="G18" i="78" s="1"/>
  <c r="F19" i="75"/>
  <c r="G19" i="75" s="1"/>
  <c r="F19" i="78"/>
  <c r="G19" i="78" s="1"/>
  <c r="F13" i="19"/>
  <c r="G13" i="19" s="1"/>
  <c r="F10" i="75"/>
  <c r="G10" i="75" s="1"/>
  <c r="F14" i="19"/>
  <c r="G14" i="19" s="1"/>
  <c r="F12" i="19"/>
  <c r="G12" i="19" s="1"/>
  <c r="F16" i="19"/>
  <c r="G16" i="19" s="1"/>
  <c r="F18" i="19"/>
  <c r="G18" i="19" s="1"/>
  <c r="F13" i="75"/>
  <c r="G13" i="75" s="1"/>
  <c r="F19" i="19"/>
  <c r="G19" i="19" s="1"/>
  <c r="F14" i="75"/>
  <c r="G14" i="75" s="1"/>
  <c r="F9" i="19"/>
  <c r="G9" i="19" s="1"/>
  <c r="F9" i="75"/>
  <c r="G9" i="75" s="1"/>
  <c r="F20" i="19"/>
  <c r="G20" i="19" s="1"/>
  <c r="F10" i="19"/>
  <c r="G10" i="19" s="1"/>
  <c r="F8" i="19"/>
  <c r="G8" i="19" s="1"/>
  <c r="F8" i="75"/>
  <c r="G8" i="75" s="1"/>
  <c r="F21" i="19"/>
  <c r="G21" i="19" s="1"/>
  <c r="F11" i="19"/>
  <c r="G11" i="19" s="1"/>
  <c r="F20" i="71"/>
  <c r="G20" i="71" s="1"/>
  <c r="F11" i="18"/>
  <c r="G11" i="18" s="1"/>
  <c r="F11" i="74"/>
  <c r="G11" i="74" s="1"/>
  <c r="F9" i="18"/>
  <c r="G9" i="18" s="1"/>
  <c r="F9" i="74"/>
  <c r="G9" i="74" s="1"/>
  <c r="F8" i="18"/>
  <c r="G8" i="18" s="1"/>
  <c r="F8" i="74"/>
  <c r="G8" i="74" s="1"/>
  <c r="E11" i="39"/>
  <c r="E11" i="65"/>
  <c r="E21" i="17"/>
  <c r="D36" i="17" s="1"/>
  <c r="G36" i="17" s="1"/>
  <c r="G39" i="17" s="1"/>
  <c r="G8" i="62" s="1"/>
  <c r="M8" i="62" s="1"/>
  <c r="E10" i="14"/>
  <c r="D22" i="14" s="1"/>
  <c r="G22" i="14" s="1"/>
  <c r="G25" i="14" s="1"/>
  <c r="G9" i="62" s="1"/>
  <c r="M9" i="62" s="1"/>
  <c r="E13" i="64"/>
  <c r="D27" i="64" s="1"/>
  <c r="G27" i="64" s="1"/>
  <c r="G30" i="64" s="1"/>
  <c r="D25" i="7"/>
  <c r="G25" i="7" s="1"/>
  <c r="G28" i="7" s="1"/>
  <c r="E9" i="39"/>
  <c r="E9" i="65"/>
  <c r="F10" i="72"/>
  <c r="G10" i="72" s="1"/>
  <c r="F20" i="72"/>
  <c r="G20" i="72" s="1"/>
  <c r="F16" i="72"/>
  <c r="G16" i="72" s="1"/>
  <c r="F11" i="72"/>
  <c r="G11" i="72" s="1"/>
  <c r="F8" i="72"/>
  <c r="G8" i="72" s="1"/>
  <c r="F8" i="73"/>
  <c r="G8" i="73" s="1"/>
  <c r="F15" i="72"/>
  <c r="G15" i="72" s="1"/>
  <c r="F14" i="72"/>
  <c r="G14" i="72" s="1"/>
  <c r="F19" i="72"/>
  <c r="G19" i="72" s="1"/>
  <c r="F18" i="72"/>
  <c r="G18" i="72" s="1"/>
  <c r="F12" i="72"/>
  <c r="G12" i="72" s="1"/>
  <c r="F16" i="21"/>
  <c r="G16" i="21" s="1"/>
  <c r="F13" i="72"/>
  <c r="G13" i="72" s="1"/>
  <c r="F15" i="71"/>
  <c r="G15" i="71" s="1"/>
  <c r="F8" i="66"/>
  <c r="G8" i="66" s="1"/>
  <c r="F8" i="71"/>
  <c r="G8" i="71" s="1"/>
  <c r="F24" i="66"/>
  <c r="G24" i="66" s="1"/>
  <c r="F13" i="70"/>
  <c r="G13" i="70" s="1"/>
  <c r="F15" i="70"/>
  <c r="G15" i="70" s="1"/>
  <c r="F12" i="67"/>
  <c r="G12" i="67" s="1"/>
  <c r="F25" i="66"/>
  <c r="G25" i="66" s="1"/>
  <c r="F11" i="70"/>
  <c r="G11" i="70" s="1"/>
  <c r="F11" i="69"/>
  <c r="G11" i="69" s="1"/>
  <c r="F14" i="68"/>
  <c r="G14" i="68" s="1"/>
  <c r="F14" i="67"/>
  <c r="G14" i="67" s="1"/>
  <c r="F15" i="68"/>
  <c r="G15" i="68" s="1"/>
  <c r="F16" i="17"/>
  <c r="G16" i="17" s="1"/>
  <c r="F18" i="66"/>
  <c r="G18" i="66" s="1"/>
  <c r="F9" i="17"/>
  <c r="G9" i="17" s="1"/>
  <c r="F11" i="66"/>
  <c r="G11" i="66" s="1"/>
  <c r="F15" i="17"/>
  <c r="G15" i="17" s="1"/>
  <c r="F17" i="66"/>
  <c r="G17" i="66" s="1"/>
  <c r="F10" i="17"/>
  <c r="G10" i="17" s="1"/>
  <c r="F12" i="66"/>
  <c r="G12" i="66" s="1"/>
  <c r="F11" i="17"/>
  <c r="G11" i="17" s="1"/>
  <c r="F13" i="66"/>
  <c r="G13" i="66" s="1"/>
  <c r="F17" i="17"/>
  <c r="G17" i="17" s="1"/>
  <c r="F19" i="66"/>
  <c r="G19" i="66" s="1"/>
  <c r="F13" i="17"/>
  <c r="G13" i="17" s="1"/>
  <c r="F15" i="66"/>
  <c r="G15" i="66" s="1"/>
  <c r="F8" i="17"/>
  <c r="G8" i="17" s="1"/>
  <c r="F12" i="64"/>
  <c r="G12" i="64" s="1"/>
  <c r="F15" i="64"/>
  <c r="G15" i="64" s="1"/>
  <c r="F15" i="39"/>
  <c r="G15" i="39" s="1"/>
  <c r="F15" i="65"/>
  <c r="G15" i="65" s="1"/>
  <c r="F10" i="16"/>
  <c r="G10" i="16" s="1"/>
  <c r="F15" i="21"/>
  <c r="G15" i="21" s="1"/>
  <c r="F23" i="17"/>
  <c r="G23" i="17" s="1"/>
  <c r="F9" i="64"/>
  <c r="G9" i="64" s="1"/>
  <c r="F8" i="39"/>
  <c r="G8" i="39" s="1"/>
  <c r="F8" i="65"/>
  <c r="G8" i="65" s="1"/>
  <c r="F14" i="39"/>
  <c r="G14" i="39" s="1"/>
  <c r="F10" i="15"/>
  <c r="G10" i="15" s="1"/>
  <c r="E29" i="4"/>
  <c r="H29" i="4" s="1"/>
  <c r="K17" i="4"/>
  <c r="K21" i="4"/>
  <c r="K30" i="4"/>
  <c r="D32" i="43"/>
  <c r="G32" i="43" s="1"/>
  <c r="G35" i="43" s="1"/>
  <c r="D20" i="39"/>
  <c r="G20" i="39" s="1"/>
  <c r="G23" i="39" s="1"/>
  <c r="F7" i="62" s="1"/>
  <c r="L7" i="62" s="1"/>
  <c r="E31" i="4"/>
  <c r="H31" i="4" s="1"/>
  <c r="E15" i="4"/>
  <c r="K25" i="4"/>
  <c r="E18" i="4"/>
  <c r="H18" i="4" s="1"/>
  <c r="D15" i="1"/>
  <c r="E21" i="4"/>
  <c r="H21" i="4" s="1"/>
  <c r="K31" i="4"/>
  <c r="F11" i="43"/>
  <c r="G11" i="43" s="1"/>
  <c r="F12" i="43"/>
  <c r="G12" i="43" s="1"/>
  <c r="F10" i="43"/>
  <c r="G10" i="43" s="1"/>
  <c r="F9" i="43"/>
  <c r="G9" i="43" s="1"/>
  <c r="F8" i="86"/>
  <c r="G8" i="86" s="1"/>
  <c r="G11" i="86" s="1"/>
  <c r="F20" i="68"/>
  <c r="G20" i="68" s="1"/>
  <c r="F15" i="97"/>
  <c r="G15" i="97" s="1"/>
  <c r="F13" i="18"/>
  <c r="G13" i="18" s="1"/>
  <c r="F22" i="17"/>
  <c r="G22" i="17" s="1"/>
  <c r="F13" i="97"/>
  <c r="G13" i="97" s="1"/>
  <c r="F20" i="17"/>
  <c r="G20" i="17" s="1"/>
  <c r="F10" i="68"/>
  <c r="G10" i="68" s="1"/>
  <c r="F20" i="6"/>
  <c r="F5" i="114" s="1"/>
  <c r="D21" i="1"/>
  <c r="K28" i="4"/>
  <c r="D29" i="21"/>
  <c r="G29" i="21" s="1"/>
  <c r="G32" i="21" s="1"/>
  <c r="F19" i="62" s="1"/>
  <c r="L19" i="62" s="1"/>
  <c r="F10" i="114" s="1"/>
  <c r="L10" i="114" s="1"/>
  <c r="F6" i="2"/>
  <c r="F13" i="2" s="1"/>
  <c r="F7" i="2"/>
  <c r="F8" i="2" s="1"/>
  <c r="E20" i="4"/>
  <c r="H20" i="4" s="1"/>
  <c r="K24" i="4"/>
  <c r="E17" i="4"/>
  <c r="E25" i="4"/>
  <c r="E22" i="21"/>
  <c r="D36" i="21" s="1"/>
  <c r="G36" i="21" s="1"/>
  <c r="G39" i="21" s="1"/>
  <c r="G19" i="62" s="1"/>
  <c r="M19" i="62" s="1"/>
  <c r="F14" i="21"/>
  <c r="G14" i="21" s="1"/>
  <c r="F18" i="21"/>
  <c r="G18" i="21" s="1"/>
  <c r="F12" i="21"/>
  <c r="G12" i="21" s="1"/>
  <c r="F19" i="21"/>
  <c r="G19" i="21" s="1"/>
  <c r="F8" i="21"/>
  <c r="G8" i="21" s="1"/>
  <c r="F17" i="21"/>
  <c r="G17" i="21" s="1"/>
  <c r="F10" i="21"/>
  <c r="G10" i="21" s="1"/>
  <c r="F11" i="21"/>
  <c r="G11" i="21" s="1"/>
  <c r="F20" i="21"/>
  <c r="G20" i="21" s="1"/>
  <c r="F13" i="21"/>
  <c r="G13" i="21" s="1"/>
  <c r="F23" i="21"/>
  <c r="G23" i="21" s="1"/>
  <c r="F24" i="21"/>
  <c r="G24" i="21" s="1"/>
  <c r="D26" i="19"/>
  <c r="G26" i="19" s="1"/>
  <c r="G29" i="19" s="1"/>
  <c r="F17" i="62" s="1"/>
  <c r="D15" i="20"/>
  <c r="G15" i="20" s="1"/>
  <c r="G18" i="20" s="1"/>
  <c r="F15" i="62" s="1"/>
  <c r="D18" i="18"/>
  <c r="G18" i="18" s="1"/>
  <c r="G21" i="18" s="1"/>
  <c r="F12" i="62" s="1"/>
  <c r="L12" i="62" s="1"/>
  <c r="D29" i="17"/>
  <c r="G29" i="17" s="1"/>
  <c r="G32" i="17" s="1"/>
  <c r="F8" i="62" s="1"/>
  <c r="L8" i="62" s="1"/>
  <c r="D15" i="16"/>
  <c r="G15" i="16" s="1"/>
  <c r="G18" i="16" s="1"/>
  <c r="F11" i="62" s="1"/>
  <c r="L11" i="62" s="1"/>
  <c r="D15" i="14"/>
  <c r="G15" i="14" s="1"/>
  <c r="G18" i="14" s="1"/>
  <c r="F9" i="62" s="1"/>
  <c r="L9" i="62" s="1"/>
  <c r="D15" i="15"/>
  <c r="G15" i="15" s="1"/>
  <c r="G18" i="15" s="1"/>
  <c r="F10" i="62" s="1"/>
  <c r="L10" i="62" s="1"/>
  <c r="F10" i="66"/>
  <c r="G10" i="66" s="1"/>
  <c r="F9" i="115"/>
  <c r="G9" i="115" s="1"/>
  <c r="F11" i="97"/>
  <c r="G11" i="97" s="1"/>
  <c r="F21" i="66"/>
  <c r="G21" i="66" s="1"/>
  <c r="F12" i="17"/>
  <c r="G12" i="17" s="1"/>
  <c r="F8" i="16"/>
  <c r="F10" i="97"/>
  <c r="G10" i="97" s="1"/>
  <c r="F15" i="115"/>
  <c r="G15" i="115" s="1"/>
  <c r="F8" i="95"/>
  <c r="G8" i="95" s="1"/>
  <c r="F8" i="116"/>
  <c r="G8" i="116" s="1"/>
  <c r="F9" i="97"/>
  <c r="G9" i="97" s="1"/>
  <c r="F24" i="17"/>
  <c r="G24" i="17" s="1"/>
  <c r="F8" i="15"/>
  <c r="E5" i="34" s="1"/>
  <c r="F8" i="14"/>
  <c r="F18" i="76"/>
  <c r="G18" i="76" s="1"/>
  <c r="F12" i="97"/>
  <c r="G12" i="97" s="1"/>
  <c r="F16" i="116"/>
  <c r="G16" i="116" s="1"/>
  <c r="F17" i="76"/>
  <c r="G17" i="76" s="1"/>
  <c r="F18" i="68"/>
  <c r="G18" i="68" s="1"/>
  <c r="E27" i="9"/>
  <c r="J33" i="4"/>
  <c r="J32" i="4"/>
  <c r="K15" i="4"/>
  <c r="K26" i="4"/>
  <c r="E19" i="4"/>
  <c r="H19" i="4" s="1"/>
  <c r="K23" i="4"/>
  <c r="K29" i="4"/>
  <c r="K18" i="4"/>
  <c r="E22" i="4"/>
  <c r="K32" i="4"/>
  <c r="H13" i="4"/>
  <c r="K20" i="4"/>
  <c r="E24" i="4"/>
  <c r="H24" i="4" s="1"/>
  <c r="E30" i="4"/>
  <c r="H30" i="4" s="1"/>
  <c r="K22" i="4"/>
  <c r="E26" i="4"/>
  <c r="H26" i="4" s="1"/>
  <c r="E32" i="4"/>
  <c r="H32" i="4" s="1"/>
  <c r="K13" i="4"/>
  <c r="K19" i="4"/>
  <c r="E23" i="4"/>
  <c r="H23" i="4" s="1"/>
  <c r="D30" i="6" l="1"/>
  <c r="D31" i="6"/>
  <c r="C52" i="115"/>
  <c r="C36" i="116"/>
  <c r="F25" i="5"/>
  <c r="L25" i="5" s="1"/>
  <c r="F25" i="114"/>
  <c r="L25" i="114" s="1"/>
  <c r="F19" i="115"/>
  <c r="G19" i="115" s="1"/>
  <c r="G34" i="115" s="1"/>
  <c r="F10" i="116"/>
  <c r="G10" i="116" s="1"/>
  <c r="G18" i="116" s="1"/>
  <c r="L18" i="114"/>
  <c r="F26" i="6"/>
  <c r="G5" i="114" s="1"/>
  <c r="M5" i="114" s="1"/>
  <c r="F19" i="5"/>
  <c r="L19" i="5" s="1"/>
  <c r="F19" i="114"/>
  <c r="L19" i="114" s="1"/>
  <c r="L5" i="114"/>
  <c r="F20" i="5"/>
  <c r="L20" i="5" s="1"/>
  <c r="F20" i="114"/>
  <c r="L20" i="114" s="1"/>
  <c r="F22" i="5"/>
  <c r="L22" i="5" s="1"/>
  <c r="F22" i="114"/>
  <c r="L22" i="114" s="1"/>
  <c r="D53" i="115"/>
  <c r="D52" i="115"/>
  <c r="D37" i="116"/>
  <c r="D36" i="116"/>
  <c r="F26" i="5"/>
  <c r="L26" i="5" s="1"/>
  <c r="F26" i="114"/>
  <c r="L26" i="114" s="1"/>
  <c r="F24" i="5"/>
  <c r="L24" i="5" s="1"/>
  <c r="F24" i="114"/>
  <c r="L24" i="114" s="1"/>
  <c r="F27" i="5"/>
  <c r="L27" i="5" s="1"/>
  <c r="F27" i="114"/>
  <c r="L27" i="114" s="1"/>
  <c r="F28" i="5"/>
  <c r="L28" i="5" s="1"/>
  <c r="F28" i="114"/>
  <c r="L28" i="114" s="1"/>
  <c r="F23" i="5"/>
  <c r="L23" i="5" s="1"/>
  <c r="F23" i="114"/>
  <c r="L23" i="114" s="1"/>
  <c r="D24" i="1"/>
  <c r="F21" i="5"/>
  <c r="L21" i="5" s="1"/>
  <c r="F21" i="114"/>
  <c r="L21" i="114" s="1"/>
  <c r="K25" i="114"/>
  <c r="K28" i="114"/>
  <c r="G10" i="5"/>
  <c r="G10" i="114"/>
  <c r="M10" i="114" s="1"/>
  <c r="K27" i="114"/>
  <c r="K26" i="114"/>
  <c r="K19" i="114"/>
  <c r="H25" i="4"/>
  <c r="H17" i="4"/>
  <c r="E28" i="5"/>
  <c r="H22" i="4"/>
  <c r="G8" i="68"/>
  <c r="G24" i="68" s="1"/>
  <c r="E10" i="34"/>
  <c r="F10" i="34" s="1"/>
  <c r="F18" i="5"/>
  <c r="D30" i="20"/>
  <c r="D34" i="110"/>
  <c r="D29" i="109"/>
  <c r="D33" i="110"/>
  <c r="D28" i="109"/>
  <c r="D33" i="108"/>
  <c r="D32" i="108"/>
  <c r="D28" i="105"/>
  <c r="D38" i="102"/>
  <c r="D31" i="103"/>
  <c r="D35" i="100"/>
  <c r="D33" i="104"/>
  <c r="D35" i="101"/>
  <c r="D30" i="98"/>
  <c r="D33" i="99"/>
  <c r="D29" i="105"/>
  <c r="D37" i="102"/>
  <c r="D34" i="99"/>
  <c r="D34" i="100"/>
  <c r="D32" i="103"/>
  <c r="D29" i="98"/>
  <c r="D32" i="104"/>
  <c r="D36" i="101"/>
  <c r="D26" i="96"/>
  <c r="D33" i="91"/>
  <c r="D27" i="92"/>
  <c r="D39" i="97"/>
  <c r="D29" i="94"/>
  <c r="D35" i="95"/>
  <c r="D32" i="91"/>
  <c r="D27" i="96"/>
  <c r="D40" i="97"/>
  <c r="D34" i="95"/>
  <c r="D28" i="94"/>
  <c r="D28" i="92"/>
  <c r="D33" i="90"/>
  <c r="D32" i="90"/>
  <c r="D29" i="87"/>
  <c r="D29" i="86"/>
  <c r="D29" i="88"/>
  <c r="D30" i="88"/>
  <c r="D30" i="87"/>
  <c r="D30" i="89"/>
  <c r="D30" i="86"/>
  <c r="D33" i="85"/>
  <c r="D32" i="85"/>
  <c r="D44" i="79"/>
  <c r="D43" i="79"/>
  <c r="D33" i="77"/>
  <c r="D38" i="76"/>
  <c r="D32" i="77"/>
  <c r="D37" i="76"/>
  <c r="D40" i="75"/>
  <c r="D39" i="75"/>
  <c r="D33" i="74"/>
  <c r="D30" i="73"/>
  <c r="D32" i="74"/>
  <c r="D29" i="73"/>
  <c r="D39" i="72"/>
  <c r="D40" i="72"/>
  <c r="D40" i="71"/>
  <c r="D39" i="71"/>
  <c r="D39" i="70"/>
  <c r="D38" i="70"/>
  <c r="D32" i="69"/>
  <c r="D43" i="68"/>
  <c r="D42" i="68"/>
  <c r="D31" i="69"/>
  <c r="D34" i="65"/>
  <c r="D45" i="66"/>
  <c r="D34" i="67"/>
  <c r="D44" i="66"/>
  <c r="D33" i="67"/>
  <c r="D35" i="65"/>
  <c r="D35" i="64"/>
  <c r="D34" i="64"/>
  <c r="D46" i="43"/>
  <c r="D47" i="43"/>
  <c r="D48" i="43"/>
  <c r="C32" i="108"/>
  <c r="G32" i="108" s="1"/>
  <c r="H26" i="114" s="1"/>
  <c r="N26" i="114" s="1"/>
  <c r="C33" i="110"/>
  <c r="G33" i="110" s="1"/>
  <c r="C28" i="109"/>
  <c r="G28" i="109" s="1"/>
  <c r="H27" i="114" s="1"/>
  <c r="N27" i="114" s="1"/>
  <c r="C28" i="105"/>
  <c r="C31" i="103"/>
  <c r="C35" i="101"/>
  <c r="C33" i="99"/>
  <c r="C37" i="102"/>
  <c r="C34" i="100"/>
  <c r="C32" i="104"/>
  <c r="C32" i="85"/>
  <c r="C43" i="79"/>
  <c r="C32" i="77"/>
  <c r="G32" i="77" s="1"/>
  <c r="H37" i="63" s="1"/>
  <c r="C37" i="76"/>
  <c r="G37" i="76" s="1"/>
  <c r="H36" i="63" s="1"/>
  <c r="C39" i="75"/>
  <c r="C29" i="73"/>
  <c r="G29" i="73" s="1"/>
  <c r="H17" i="63" s="1"/>
  <c r="C32" i="74"/>
  <c r="C39" i="72"/>
  <c r="C39" i="71"/>
  <c r="C38" i="70"/>
  <c r="C42" i="68"/>
  <c r="C31" i="69"/>
  <c r="C34" i="65"/>
  <c r="C44" i="66"/>
  <c r="C33" i="67"/>
  <c r="G33" i="67" s="1"/>
  <c r="H9" i="63" s="1"/>
  <c r="C34" i="64"/>
  <c r="G34" i="64" s="1"/>
  <c r="H6" i="63" s="1"/>
  <c r="E27" i="5"/>
  <c r="E26" i="5"/>
  <c r="E25" i="5"/>
  <c r="G14" i="104"/>
  <c r="E24" i="114" s="1"/>
  <c r="G13" i="103"/>
  <c r="E23" i="114" s="1"/>
  <c r="G16" i="100"/>
  <c r="E20" i="114" s="1"/>
  <c r="G17" i="101"/>
  <c r="G19" i="102"/>
  <c r="E22" i="114" s="1"/>
  <c r="E19" i="5"/>
  <c r="G23" i="97"/>
  <c r="G18" i="95"/>
  <c r="F13" i="90"/>
  <c r="G13" i="90" s="1"/>
  <c r="G14" i="90" s="1"/>
  <c r="F8" i="94"/>
  <c r="G8" i="94" s="1"/>
  <c r="G12" i="94" s="1"/>
  <c r="F13" i="91"/>
  <c r="G13" i="91" s="1"/>
  <c r="G14" i="91" s="1"/>
  <c r="F16" i="114"/>
  <c r="L16" i="114" s="1"/>
  <c r="L17" i="62"/>
  <c r="F14" i="114"/>
  <c r="L14" i="114" s="1"/>
  <c r="G28" i="78"/>
  <c r="F30" i="5"/>
  <c r="L30" i="5" s="1"/>
  <c r="L15" i="62"/>
  <c r="G14" i="85"/>
  <c r="F11" i="71"/>
  <c r="G11" i="71" s="1"/>
  <c r="F10" i="77"/>
  <c r="G10" i="77" s="1"/>
  <c r="G14" i="77" s="1"/>
  <c r="F16" i="71"/>
  <c r="G16" i="71" s="1"/>
  <c r="F9" i="66"/>
  <c r="G9" i="66" s="1"/>
  <c r="G25" i="79"/>
  <c r="F17" i="72"/>
  <c r="G17" i="72" s="1"/>
  <c r="G21" i="72" s="1"/>
  <c r="F16" i="76"/>
  <c r="G16" i="76" s="1"/>
  <c r="G19" i="76" s="1"/>
  <c r="F10" i="5"/>
  <c r="G21" i="78"/>
  <c r="D27" i="39"/>
  <c r="G27" i="39" s="1"/>
  <c r="G30" i="39" s="1"/>
  <c r="G7" i="62" s="1"/>
  <c r="M7" i="62" s="1"/>
  <c r="G21" i="75"/>
  <c r="G22" i="19"/>
  <c r="E17" i="62" s="1"/>
  <c r="D27" i="65"/>
  <c r="G27" i="65" s="1"/>
  <c r="G30" i="65" s="1"/>
  <c r="F13" i="71"/>
  <c r="G13" i="71" s="1"/>
  <c r="F10" i="74"/>
  <c r="G10" i="74" s="1"/>
  <c r="G14" i="74" s="1"/>
  <c r="G11" i="73"/>
  <c r="F9" i="71"/>
  <c r="G9" i="71" s="1"/>
  <c r="F23" i="66"/>
  <c r="G23" i="66" s="1"/>
  <c r="F10" i="70"/>
  <c r="G10" i="70" s="1"/>
  <c r="F20" i="66"/>
  <c r="G20" i="66" s="1"/>
  <c r="F9" i="69"/>
  <c r="G9" i="69" s="1"/>
  <c r="F9" i="70"/>
  <c r="G9" i="70" s="1"/>
  <c r="F10" i="67"/>
  <c r="G10" i="67" s="1"/>
  <c r="F10" i="69"/>
  <c r="G10" i="69" s="1"/>
  <c r="F16" i="66"/>
  <c r="G16" i="66" s="1"/>
  <c r="F9" i="67"/>
  <c r="G9" i="67" s="1"/>
  <c r="F12" i="18"/>
  <c r="G12" i="18" s="1"/>
  <c r="F14" i="65"/>
  <c r="G14" i="65" s="1"/>
  <c r="F9" i="16"/>
  <c r="G9" i="16" s="1"/>
  <c r="F11" i="64"/>
  <c r="G11" i="64" s="1"/>
  <c r="F9" i="14"/>
  <c r="G9" i="14" s="1"/>
  <c r="F21" i="17"/>
  <c r="G21" i="17" s="1"/>
  <c r="F13" i="64"/>
  <c r="G13" i="64" s="1"/>
  <c r="F10" i="14"/>
  <c r="G10" i="14" s="1"/>
  <c r="F9" i="39"/>
  <c r="G9" i="39" s="1"/>
  <c r="F9" i="65"/>
  <c r="G9" i="65" s="1"/>
  <c r="F11" i="39"/>
  <c r="G11" i="39" s="1"/>
  <c r="F11" i="65"/>
  <c r="G11" i="65" s="1"/>
  <c r="F10" i="39"/>
  <c r="G10" i="39" s="1"/>
  <c r="F10" i="65"/>
  <c r="G10" i="65" s="1"/>
  <c r="G6" i="62"/>
  <c r="C43" i="21"/>
  <c r="C40" i="19"/>
  <c r="C29" i="14"/>
  <c r="C32" i="18"/>
  <c r="C43" i="17"/>
  <c r="C29" i="16"/>
  <c r="C34" i="39"/>
  <c r="C29" i="15"/>
  <c r="C32" i="7"/>
  <c r="H15" i="4"/>
  <c r="C30" i="6" s="1"/>
  <c r="F30" i="6" s="1"/>
  <c r="E28" i="4"/>
  <c r="H28" i="4" s="1"/>
  <c r="K14" i="4"/>
  <c r="G21" i="7"/>
  <c r="F6" i="62" s="1"/>
  <c r="L6" i="62" s="1"/>
  <c r="F13" i="43"/>
  <c r="G13" i="43" s="1"/>
  <c r="G28" i="43" s="1"/>
  <c r="F33" i="7"/>
  <c r="F32" i="7"/>
  <c r="D35" i="39"/>
  <c r="D34" i="39"/>
  <c r="F9" i="15"/>
  <c r="G9" i="15" s="1"/>
  <c r="F9" i="21"/>
  <c r="G9" i="21" s="1"/>
  <c r="E4" i="34"/>
  <c r="F4" i="34" s="1"/>
  <c r="F18" i="17"/>
  <c r="G18" i="17" s="1"/>
  <c r="G8" i="15"/>
  <c r="F5" i="34"/>
  <c r="G8" i="14"/>
  <c r="E6" i="34"/>
  <c r="F6" i="34" s="1"/>
  <c r="F10" i="18"/>
  <c r="G10" i="18" s="1"/>
  <c r="F13" i="39"/>
  <c r="G13" i="39" s="1"/>
  <c r="G8" i="16"/>
  <c r="E7" i="34"/>
  <c r="F7" i="34" s="1"/>
  <c r="E14" i="4"/>
  <c r="D40" i="19"/>
  <c r="D41" i="19"/>
  <c r="D44" i="21"/>
  <c r="D43" i="21"/>
  <c r="D32" i="18"/>
  <c r="D33" i="18"/>
  <c r="D43" i="17"/>
  <c r="D30" i="16"/>
  <c r="D29" i="16"/>
  <c r="D44" i="17"/>
  <c r="D30" i="15"/>
  <c r="D29" i="14"/>
  <c r="D29" i="15"/>
  <c r="D30" i="14"/>
  <c r="D33" i="7"/>
  <c r="D32" i="7"/>
  <c r="F21" i="21"/>
  <c r="G21" i="21" s="1"/>
  <c r="F22" i="21"/>
  <c r="G22" i="21" s="1"/>
  <c r="F19" i="17"/>
  <c r="G19" i="17" s="1"/>
  <c r="F14" i="17"/>
  <c r="G14" i="17" s="1"/>
  <c r="K33" i="4"/>
  <c r="E33" i="4"/>
  <c r="H33" i="4" s="1"/>
  <c r="E27" i="4"/>
  <c r="K27" i="4"/>
  <c r="K16" i="4"/>
  <c r="E16" i="4"/>
  <c r="H16" i="4" s="1"/>
  <c r="G33" i="99" l="1"/>
  <c r="H19" i="114" s="1"/>
  <c r="N19" i="114" s="1"/>
  <c r="N17" i="63"/>
  <c r="N36" i="63"/>
  <c r="N9" i="63"/>
  <c r="G34" i="100"/>
  <c r="H20" i="114" s="1"/>
  <c r="N20" i="114" s="1"/>
  <c r="G37" i="102"/>
  <c r="H22" i="114" s="1"/>
  <c r="N22" i="114" s="1"/>
  <c r="N6" i="63"/>
  <c r="G43" i="79"/>
  <c r="H39" i="63" s="1"/>
  <c r="N37" i="63"/>
  <c r="G39" i="72"/>
  <c r="H16" i="63" s="1"/>
  <c r="G32" i="85"/>
  <c r="H19" i="63" s="1"/>
  <c r="F9" i="5"/>
  <c r="L9" i="5" s="1"/>
  <c r="F9" i="114"/>
  <c r="L9" i="114" s="1"/>
  <c r="G39" i="71"/>
  <c r="H15" i="63" s="1"/>
  <c r="F7" i="5"/>
  <c r="L7" i="5" s="1"/>
  <c r="F7" i="114"/>
  <c r="L7" i="114" s="1"/>
  <c r="F15" i="114"/>
  <c r="L15" i="114" s="1"/>
  <c r="F8" i="114"/>
  <c r="L8" i="114" s="1"/>
  <c r="G32" i="74"/>
  <c r="H18" i="63" s="1"/>
  <c r="H28" i="5"/>
  <c r="N28" i="5" s="1"/>
  <c r="H28" i="114"/>
  <c r="N28" i="114" s="1"/>
  <c r="G31" i="103"/>
  <c r="H23" i="114" s="1"/>
  <c r="N23" i="114" s="1"/>
  <c r="G28" i="105"/>
  <c r="G36" i="116"/>
  <c r="H13" i="63" s="1"/>
  <c r="G39" i="78"/>
  <c r="H30" i="114" s="1"/>
  <c r="N30" i="114" s="1"/>
  <c r="G52" i="115"/>
  <c r="H8" i="63" s="1"/>
  <c r="G31" i="69"/>
  <c r="H12" i="63" s="1"/>
  <c r="G42" i="68"/>
  <c r="H11" i="63" s="1"/>
  <c r="F12" i="114"/>
  <c r="L12" i="114" s="1"/>
  <c r="E21" i="5"/>
  <c r="K21" i="5" s="1"/>
  <c r="E21" i="114"/>
  <c r="K22" i="114"/>
  <c r="F13" i="34"/>
  <c r="I11" i="35" s="1"/>
  <c r="K20" i="114"/>
  <c r="K24" i="114"/>
  <c r="E30" i="5"/>
  <c r="E30" i="114"/>
  <c r="K23" i="114"/>
  <c r="G15" i="5"/>
  <c r="M15" i="5" s="1"/>
  <c r="G15" i="114"/>
  <c r="M15" i="114" s="1"/>
  <c r="G32" i="104"/>
  <c r="H24" i="114" s="1"/>
  <c r="N24" i="114" s="1"/>
  <c r="L18" i="5"/>
  <c r="G38" i="70"/>
  <c r="H14" i="63" s="1"/>
  <c r="H20" i="5"/>
  <c r="N20" i="5" s="1"/>
  <c r="H27" i="5"/>
  <c r="N27" i="5" s="1"/>
  <c r="K28" i="5"/>
  <c r="C39" i="97"/>
  <c r="G39" i="97" s="1"/>
  <c r="H32" i="63" s="1"/>
  <c r="C28" i="94"/>
  <c r="G28" i="94" s="1"/>
  <c r="H29" i="63" s="1"/>
  <c r="F48" i="43"/>
  <c r="C48" i="43"/>
  <c r="C29" i="98"/>
  <c r="G29" i="98" s="1"/>
  <c r="H18" i="114" s="1"/>
  <c r="C26" i="96"/>
  <c r="G26" i="96" s="1"/>
  <c r="H31" i="63" s="1"/>
  <c r="C27" i="92"/>
  <c r="G27" i="92" s="1"/>
  <c r="H27" i="63" s="1"/>
  <c r="C32" i="91"/>
  <c r="G32" i="91" s="1"/>
  <c r="H26" i="63" s="1"/>
  <c r="C34" i="95"/>
  <c r="G34" i="95" s="1"/>
  <c r="H30" i="63" s="1"/>
  <c r="C32" i="90"/>
  <c r="G32" i="90" s="1"/>
  <c r="H25" i="63" s="1"/>
  <c r="C29" i="87"/>
  <c r="G29" i="87" s="1"/>
  <c r="H22" i="63" s="1"/>
  <c r="C29" i="86"/>
  <c r="G29" i="86" s="1"/>
  <c r="H21" i="63" s="1"/>
  <c r="C29" i="88"/>
  <c r="G29" i="88" s="1"/>
  <c r="H23" i="63" s="1"/>
  <c r="C46" i="43"/>
  <c r="H26" i="5"/>
  <c r="N26" i="5" s="1"/>
  <c r="H19" i="5"/>
  <c r="N19" i="5" s="1"/>
  <c r="G44" i="66"/>
  <c r="H10" i="63" s="1"/>
  <c r="G35" i="101"/>
  <c r="H21" i="114" s="1"/>
  <c r="N21" i="114" s="1"/>
  <c r="G34" i="65"/>
  <c r="H7" i="63" s="1"/>
  <c r="G39" i="75"/>
  <c r="H34" i="63" s="1"/>
  <c r="F14" i="5"/>
  <c r="L14" i="5" s="1"/>
  <c r="F15" i="5"/>
  <c r="L15" i="5" s="1"/>
  <c r="F16" i="5"/>
  <c r="L16" i="5" s="1"/>
  <c r="K27" i="5"/>
  <c r="K26" i="5"/>
  <c r="K25" i="5"/>
  <c r="E23" i="5"/>
  <c r="E24" i="5"/>
  <c r="E22" i="5"/>
  <c r="E20" i="5"/>
  <c r="K20" i="5" s="1"/>
  <c r="K19" i="5"/>
  <c r="L20" i="62"/>
  <c r="F12" i="5"/>
  <c r="L12" i="5" s="1"/>
  <c r="K30" i="5"/>
  <c r="G12" i="114"/>
  <c r="M12" i="114" s="1"/>
  <c r="G21" i="71"/>
  <c r="G20" i="70"/>
  <c r="G13" i="69"/>
  <c r="G15" i="67"/>
  <c r="G14" i="18"/>
  <c r="E12" i="62" s="1"/>
  <c r="G26" i="66"/>
  <c r="G11" i="16"/>
  <c r="G11" i="14"/>
  <c r="G16" i="64"/>
  <c r="G16" i="65"/>
  <c r="G16" i="39"/>
  <c r="M6" i="62"/>
  <c r="G7" i="114" s="1"/>
  <c r="M7" i="114" s="1"/>
  <c r="K17" i="62"/>
  <c r="H14" i="4"/>
  <c r="C31" i="6" s="1"/>
  <c r="F31" i="6" s="1"/>
  <c r="H5" i="114"/>
  <c r="N5" i="114" s="1"/>
  <c r="H27" i="4"/>
  <c r="G29" i="16"/>
  <c r="H11" i="62" s="1"/>
  <c r="N11" i="62" s="1"/>
  <c r="G29" i="14"/>
  <c r="H9" i="62" s="1"/>
  <c r="N9" i="62" s="1"/>
  <c r="G40" i="19"/>
  <c r="H17" i="62" s="1"/>
  <c r="N17" i="62" s="1"/>
  <c r="M10" i="5"/>
  <c r="L10" i="5"/>
  <c r="G34" i="39"/>
  <c r="H7" i="62" s="1"/>
  <c r="N7" i="62" s="1"/>
  <c r="G29" i="15"/>
  <c r="H10" i="62" s="1"/>
  <c r="N10" i="62" s="1"/>
  <c r="G43" i="17"/>
  <c r="H8" i="62" s="1"/>
  <c r="N8" i="62" s="1"/>
  <c r="G32" i="18"/>
  <c r="H12" i="62" s="1"/>
  <c r="N12" i="62" s="1"/>
  <c r="G43" i="21"/>
  <c r="H19" i="62" s="1"/>
  <c r="N19" i="62" s="1"/>
  <c r="H10" i="114" s="1"/>
  <c r="N10" i="114" s="1"/>
  <c r="G11" i="15"/>
  <c r="G32" i="7"/>
  <c r="H6" i="62" s="1"/>
  <c r="N6" i="62" s="1"/>
  <c r="G25" i="21"/>
  <c r="E19" i="62" s="1"/>
  <c r="G25" i="17"/>
  <c r="G14" i="7"/>
  <c r="N30" i="63" l="1"/>
  <c r="N26" i="63"/>
  <c r="N27" i="63"/>
  <c r="N31" i="63"/>
  <c r="N10" i="63"/>
  <c r="N11" i="63"/>
  <c r="N23" i="63"/>
  <c r="N21" i="63"/>
  <c r="H22" i="5"/>
  <c r="N22" i="5" s="1"/>
  <c r="N19" i="63"/>
  <c r="N14" i="63"/>
  <c r="N7" i="63"/>
  <c r="N12" i="63"/>
  <c r="N8" i="63"/>
  <c r="N29" i="63"/>
  <c r="N13" i="63"/>
  <c r="N16" i="63"/>
  <c r="N34" i="63"/>
  <c r="N18" i="63"/>
  <c r="N39" i="63"/>
  <c r="H16" i="5" s="1"/>
  <c r="N16" i="5" s="1"/>
  <c r="N15" i="63"/>
  <c r="N32" i="63"/>
  <c r="N22" i="63"/>
  <c r="N25" i="63"/>
  <c r="H30" i="5"/>
  <c r="N30" i="5" s="1"/>
  <c r="H25" i="5"/>
  <c r="N25" i="5" s="1"/>
  <c r="H25" i="114"/>
  <c r="C53" i="115"/>
  <c r="G53" i="115" s="1"/>
  <c r="I8" i="63" s="1"/>
  <c r="O8" i="63" s="1"/>
  <c r="C37" i="116"/>
  <c r="G37" i="116" s="1"/>
  <c r="I13" i="63" s="1"/>
  <c r="O13" i="63" s="1"/>
  <c r="H23" i="5"/>
  <c r="N23" i="5" s="1"/>
  <c r="N18" i="114"/>
  <c r="H9" i="5"/>
  <c r="N9" i="5" s="1"/>
  <c r="H9" i="114"/>
  <c r="N9" i="114" s="1"/>
  <c r="H7" i="114"/>
  <c r="N7" i="114" s="1"/>
  <c r="F13" i="114"/>
  <c r="L13" i="114" s="1"/>
  <c r="H15" i="114"/>
  <c r="N15" i="114" s="1"/>
  <c r="E16" i="5"/>
  <c r="K16" i="5" s="1"/>
  <c r="E16" i="114"/>
  <c r="E14" i="5"/>
  <c r="E14" i="114"/>
  <c r="K30" i="114"/>
  <c r="K21" i="114"/>
  <c r="E9" i="5"/>
  <c r="K9" i="5" s="1"/>
  <c r="E9" i="114"/>
  <c r="G48" i="43"/>
  <c r="H24" i="5"/>
  <c r="N24" i="5" s="1"/>
  <c r="F46" i="43"/>
  <c r="G46" i="43" s="1"/>
  <c r="C34" i="110"/>
  <c r="G34" i="110" s="1"/>
  <c r="I28" i="114" s="1"/>
  <c r="O28" i="114" s="1"/>
  <c r="C33" i="108"/>
  <c r="G33" i="108" s="1"/>
  <c r="I26" i="114" s="1"/>
  <c r="C29" i="109"/>
  <c r="G29" i="109" s="1"/>
  <c r="I27" i="114" s="1"/>
  <c r="C38" i="102"/>
  <c r="G38" i="102" s="1"/>
  <c r="I22" i="114" s="1"/>
  <c r="C35" i="100"/>
  <c r="G35" i="100" s="1"/>
  <c r="I20" i="114" s="1"/>
  <c r="C33" i="104"/>
  <c r="G33" i="104" s="1"/>
  <c r="C34" i="99"/>
  <c r="G34" i="99" s="1"/>
  <c r="I19" i="114" s="1"/>
  <c r="C29" i="105"/>
  <c r="G29" i="105" s="1"/>
  <c r="I25" i="114" s="1"/>
  <c r="O25" i="114" s="1"/>
  <c r="C32" i="103"/>
  <c r="G32" i="103" s="1"/>
  <c r="I23" i="114" s="1"/>
  <c r="O23" i="114" s="1"/>
  <c r="C30" i="98"/>
  <c r="G30" i="98" s="1"/>
  <c r="C36" i="101"/>
  <c r="G36" i="101" s="1"/>
  <c r="C33" i="91"/>
  <c r="G33" i="91" s="1"/>
  <c r="I26" i="63" s="1"/>
  <c r="O26" i="63" s="1"/>
  <c r="C29" i="94"/>
  <c r="G29" i="94" s="1"/>
  <c r="I29" i="63" s="1"/>
  <c r="O29" i="63" s="1"/>
  <c r="C35" i="95"/>
  <c r="G35" i="95" s="1"/>
  <c r="I30" i="63" s="1"/>
  <c r="O30" i="63" s="1"/>
  <c r="C28" i="92"/>
  <c r="G28" i="92" s="1"/>
  <c r="I27" i="63" s="1"/>
  <c r="O27" i="63" s="1"/>
  <c r="C27" i="96"/>
  <c r="G27" i="96" s="1"/>
  <c r="I31" i="63" s="1"/>
  <c r="O31" i="63" s="1"/>
  <c r="C40" i="97"/>
  <c r="G40" i="97" s="1"/>
  <c r="I32" i="63" s="1"/>
  <c r="O32" i="63" s="1"/>
  <c r="C33" i="90"/>
  <c r="G33" i="90" s="1"/>
  <c r="I25" i="63" s="1"/>
  <c r="O25" i="63" s="1"/>
  <c r="C30" i="86"/>
  <c r="G30" i="86" s="1"/>
  <c r="I21" i="63" s="1"/>
  <c r="O21" i="63" s="1"/>
  <c r="C30" i="88"/>
  <c r="G30" i="88" s="1"/>
  <c r="I23" i="63" s="1"/>
  <c r="O23" i="63" s="1"/>
  <c r="C30" i="87"/>
  <c r="G30" i="87" s="1"/>
  <c r="I22" i="63" s="1"/>
  <c r="O22" i="63" s="1"/>
  <c r="C30" i="89"/>
  <c r="G30" i="89" s="1"/>
  <c r="I24" i="63" s="1"/>
  <c r="C33" i="85"/>
  <c r="G33" i="85" s="1"/>
  <c r="I19" i="63" s="1"/>
  <c r="O19" i="63" s="1"/>
  <c r="C44" i="79"/>
  <c r="G44" i="79" s="1"/>
  <c r="I39" i="63" s="1"/>
  <c r="O39" i="63" s="1"/>
  <c r="C33" i="77"/>
  <c r="G33" i="77" s="1"/>
  <c r="I37" i="63" s="1"/>
  <c r="C38" i="76"/>
  <c r="G38" i="76" s="1"/>
  <c r="I36" i="63" s="1"/>
  <c r="G40" i="78"/>
  <c r="I30" i="114" s="1"/>
  <c r="O30" i="114" s="1"/>
  <c r="C40" i="75"/>
  <c r="G40" i="75" s="1"/>
  <c r="I34" i="63" s="1"/>
  <c r="O34" i="63" s="1"/>
  <c r="C33" i="74"/>
  <c r="G33" i="74" s="1"/>
  <c r="I18" i="63" s="1"/>
  <c r="O18" i="63" s="1"/>
  <c r="C30" i="73"/>
  <c r="G30" i="73" s="1"/>
  <c r="I17" i="63" s="1"/>
  <c r="C40" i="72"/>
  <c r="G40" i="72" s="1"/>
  <c r="I16" i="63" s="1"/>
  <c r="O16" i="63" s="1"/>
  <c r="C40" i="71"/>
  <c r="G40" i="71" s="1"/>
  <c r="I15" i="63" s="1"/>
  <c r="O15" i="63" s="1"/>
  <c r="C39" i="70"/>
  <c r="G39" i="70" s="1"/>
  <c r="I14" i="63" s="1"/>
  <c r="O14" i="63" s="1"/>
  <c r="C43" i="68"/>
  <c r="G43" i="68" s="1"/>
  <c r="I11" i="63" s="1"/>
  <c r="O11" i="63" s="1"/>
  <c r="C32" i="69"/>
  <c r="G32" i="69" s="1"/>
  <c r="I12" i="63" s="1"/>
  <c r="O12" i="63" s="1"/>
  <c r="C45" i="66"/>
  <c r="G45" i="66" s="1"/>
  <c r="I10" i="63" s="1"/>
  <c r="O10" i="63" s="1"/>
  <c r="C34" i="67"/>
  <c r="G34" i="67" s="1"/>
  <c r="I9" i="63" s="1"/>
  <c r="C35" i="65"/>
  <c r="G35" i="65" s="1"/>
  <c r="I7" i="63" s="1"/>
  <c r="O7" i="63" s="1"/>
  <c r="C35" i="64"/>
  <c r="G35" i="64" s="1"/>
  <c r="I6" i="63" s="1"/>
  <c r="H15" i="5"/>
  <c r="N15" i="5" s="1"/>
  <c r="H18" i="5"/>
  <c r="H7" i="5"/>
  <c r="N7" i="5" s="1"/>
  <c r="H21" i="5"/>
  <c r="K23" i="5"/>
  <c r="K24" i="5"/>
  <c r="K22" i="5"/>
  <c r="G12" i="5"/>
  <c r="M12" i="5" s="1"/>
  <c r="H10" i="5"/>
  <c r="N10" i="5" s="1"/>
  <c r="M20" i="62"/>
  <c r="G7" i="5"/>
  <c r="M7" i="5" s="1"/>
  <c r="K19" i="62"/>
  <c r="E11" i="62"/>
  <c r="K11" i="62" s="1"/>
  <c r="E7" i="62"/>
  <c r="K7" i="62" s="1"/>
  <c r="E9" i="62"/>
  <c r="E10" i="62"/>
  <c r="K12" i="62"/>
  <c r="E6" i="62"/>
  <c r="E8" i="62"/>
  <c r="C44" i="21"/>
  <c r="G44" i="21" s="1"/>
  <c r="I19" i="62" s="1"/>
  <c r="O19" i="62" s="1"/>
  <c r="I10" i="114" s="1"/>
  <c r="O10" i="114" s="1"/>
  <c r="C41" i="19"/>
  <c r="G41" i="19" s="1"/>
  <c r="I17" i="62" s="1"/>
  <c r="O17" i="62" s="1"/>
  <c r="C30" i="20"/>
  <c r="G30" i="20" s="1"/>
  <c r="G31" i="20" s="1"/>
  <c r="C47" i="43"/>
  <c r="C30" i="14"/>
  <c r="G30" i="14" s="1"/>
  <c r="C44" i="17"/>
  <c r="G44" i="17" s="1"/>
  <c r="I8" i="62" s="1"/>
  <c r="O8" i="62" s="1"/>
  <c r="C30" i="16"/>
  <c r="G30" i="16" s="1"/>
  <c r="C35" i="39"/>
  <c r="G35" i="39" s="1"/>
  <c r="C30" i="15"/>
  <c r="G30" i="15" s="1"/>
  <c r="I10" i="62" s="1"/>
  <c r="O10" i="62" s="1"/>
  <c r="C33" i="7"/>
  <c r="G33" i="7" s="1"/>
  <c r="I6" i="62" s="1"/>
  <c r="O6" i="62" s="1"/>
  <c r="C33" i="18"/>
  <c r="G33" i="18" s="1"/>
  <c r="I12" i="62" s="1"/>
  <c r="O12" i="62" s="1"/>
  <c r="F33" i="6"/>
  <c r="F35" i="6" s="1"/>
  <c r="I12" i="35"/>
  <c r="H10" i="35"/>
  <c r="H16" i="114" l="1"/>
  <c r="N16" i="114" s="1"/>
  <c r="J31" i="63"/>
  <c r="P31" i="63" s="1"/>
  <c r="J25" i="63"/>
  <c r="P25" i="63" s="1"/>
  <c r="J7" i="63"/>
  <c r="P7" i="63" s="1"/>
  <c r="J13" i="63"/>
  <c r="P13" i="63" s="1"/>
  <c r="J11" i="63"/>
  <c r="P11" i="63" s="1"/>
  <c r="J10" i="63"/>
  <c r="P10" i="63" s="1"/>
  <c r="J34" i="63"/>
  <c r="P34" i="63" s="1"/>
  <c r="J19" i="63"/>
  <c r="P19" i="63" s="1"/>
  <c r="J29" i="63"/>
  <c r="P29" i="63" s="1"/>
  <c r="J28" i="114"/>
  <c r="P28" i="114" s="1"/>
  <c r="N40" i="63"/>
  <c r="J22" i="63"/>
  <c r="P22" i="63" s="1"/>
  <c r="J14" i="63"/>
  <c r="P14" i="63" s="1"/>
  <c r="J32" i="63"/>
  <c r="P32" i="63" s="1"/>
  <c r="J21" i="63"/>
  <c r="P21" i="63" s="1"/>
  <c r="J26" i="63"/>
  <c r="P26" i="63" s="1"/>
  <c r="O17" i="63"/>
  <c r="J17" i="63"/>
  <c r="P17" i="63" s="1"/>
  <c r="J23" i="114"/>
  <c r="P23" i="114" s="1"/>
  <c r="O9" i="63"/>
  <c r="J9" i="63"/>
  <c r="P9" i="63" s="1"/>
  <c r="J39" i="63"/>
  <c r="P39" i="63" s="1"/>
  <c r="J8" i="63"/>
  <c r="P8" i="63" s="1"/>
  <c r="O6" i="63"/>
  <c r="J6" i="63"/>
  <c r="P6" i="63" s="1"/>
  <c r="J16" i="63"/>
  <c r="P16" i="63" s="1"/>
  <c r="J15" i="63"/>
  <c r="P15" i="63" s="1"/>
  <c r="J27" i="63"/>
  <c r="P27" i="63" s="1"/>
  <c r="O36" i="63"/>
  <c r="J36" i="63"/>
  <c r="P36" i="63" s="1"/>
  <c r="O37" i="63"/>
  <c r="J37" i="63"/>
  <c r="P37" i="63" s="1"/>
  <c r="J23" i="63"/>
  <c r="P23" i="63" s="1"/>
  <c r="J30" i="63"/>
  <c r="P30" i="63" s="1"/>
  <c r="O24" i="63"/>
  <c r="J24" i="63"/>
  <c r="P24" i="63" s="1"/>
  <c r="J18" i="63"/>
  <c r="P18" i="63" s="1"/>
  <c r="J12" i="63"/>
  <c r="P12" i="63" s="1"/>
  <c r="G35" i="18"/>
  <c r="G37" i="18" s="1"/>
  <c r="G28" i="96"/>
  <c r="G30" i="96" s="1"/>
  <c r="G55" i="115"/>
  <c r="G57" i="115" s="1"/>
  <c r="G32" i="88"/>
  <c r="G34" i="88" s="1"/>
  <c r="I5" i="114"/>
  <c r="G32" i="15"/>
  <c r="G34" i="15" s="1"/>
  <c r="I21" i="5"/>
  <c r="O21" i="5" s="1"/>
  <c r="I21" i="114"/>
  <c r="I18" i="5"/>
  <c r="O18" i="5" s="1"/>
  <c r="I18" i="114"/>
  <c r="N20" i="62"/>
  <c r="O19" i="114"/>
  <c r="J19" i="114"/>
  <c r="P19" i="114" s="1"/>
  <c r="H12" i="114"/>
  <c r="N12" i="114" s="1"/>
  <c r="O26" i="114"/>
  <c r="J26" i="114"/>
  <c r="P26" i="114" s="1"/>
  <c r="G39" i="116"/>
  <c r="G41" i="116" s="1"/>
  <c r="I9" i="5"/>
  <c r="O9" i="5" s="1"/>
  <c r="I9" i="114"/>
  <c r="O9" i="114" s="1"/>
  <c r="I24" i="5"/>
  <c r="O24" i="5" s="1"/>
  <c r="I24" i="114"/>
  <c r="O20" i="114"/>
  <c r="J20" i="114"/>
  <c r="P20" i="114" s="1"/>
  <c r="O22" i="114"/>
  <c r="J22" i="114"/>
  <c r="P22" i="114" s="1"/>
  <c r="N25" i="114"/>
  <c r="J25" i="114"/>
  <c r="P25" i="114" s="1"/>
  <c r="O27" i="114"/>
  <c r="J27" i="114"/>
  <c r="P27" i="114" s="1"/>
  <c r="J30" i="114"/>
  <c r="P30" i="114" s="1"/>
  <c r="H12" i="5"/>
  <c r="N12" i="5" s="1"/>
  <c r="H14" i="5"/>
  <c r="N14" i="5" s="1"/>
  <c r="H14" i="114"/>
  <c r="N14" i="114" s="1"/>
  <c r="I14" i="5"/>
  <c r="O14" i="5" s="1"/>
  <c r="I14" i="114"/>
  <c r="O14" i="114" s="1"/>
  <c r="E13" i="114"/>
  <c r="K13" i="114" s="1"/>
  <c r="L31" i="5"/>
  <c r="F47" i="43"/>
  <c r="G47" i="43" s="1"/>
  <c r="M31" i="5"/>
  <c r="E10" i="5"/>
  <c r="K10" i="5" s="1"/>
  <c r="E10" i="114"/>
  <c r="E15" i="5"/>
  <c r="K15" i="5" s="1"/>
  <c r="E15" i="114"/>
  <c r="K14" i="114"/>
  <c r="E8" i="114"/>
  <c r="K9" i="114"/>
  <c r="K16" i="114"/>
  <c r="G38" i="101"/>
  <c r="G40" i="101" s="1"/>
  <c r="G35" i="77"/>
  <c r="G37" i="77" s="1"/>
  <c r="I19" i="5"/>
  <c r="G36" i="99"/>
  <c r="G38" i="99" s="1"/>
  <c r="G37" i="65"/>
  <c r="G39" i="65" s="1"/>
  <c r="I15" i="62"/>
  <c r="J12" i="62"/>
  <c r="P12" i="62" s="1"/>
  <c r="G32" i="98"/>
  <c r="G34" i="98" s="1"/>
  <c r="G42" i="71"/>
  <c r="G44" i="71" s="1"/>
  <c r="G32" i="86"/>
  <c r="G34" i="86" s="1"/>
  <c r="G34" i="91"/>
  <c r="G36" i="91" s="1"/>
  <c r="N18" i="5"/>
  <c r="G37" i="64"/>
  <c r="G39" i="64" s="1"/>
  <c r="G42" i="72"/>
  <c r="G44" i="72" s="1"/>
  <c r="G46" i="79"/>
  <c r="G48" i="79" s="1"/>
  <c r="I20" i="5"/>
  <c r="G37" i="100"/>
  <c r="G39" i="100" s="1"/>
  <c r="G36" i="95"/>
  <c r="G38" i="95" s="1"/>
  <c r="J17" i="62"/>
  <c r="P17" i="62" s="1"/>
  <c r="G32" i="73"/>
  <c r="G34" i="73" s="1"/>
  <c r="G34" i="90"/>
  <c r="G36" i="90" s="1"/>
  <c r="I22" i="5"/>
  <c r="G40" i="102"/>
  <c r="G42" i="102" s="1"/>
  <c r="G41" i="97"/>
  <c r="G43" i="97" s="1"/>
  <c r="G42" i="75"/>
  <c r="G44" i="75" s="1"/>
  <c r="G36" i="67"/>
  <c r="G38" i="67" s="1"/>
  <c r="G35" i="74"/>
  <c r="G37" i="74" s="1"/>
  <c r="G32" i="16"/>
  <c r="G34" i="16" s="1"/>
  <c r="I11" i="62"/>
  <c r="O11" i="62" s="1"/>
  <c r="G41" i="70"/>
  <c r="G43" i="70" s="1"/>
  <c r="G47" i="66"/>
  <c r="G49" i="66" s="1"/>
  <c r="I23" i="5"/>
  <c r="G34" i="103"/>
  <c r="G36" i="103" s="1"/>
  <c r="I27" i="5"/>
  <c r="G31" i="109"/>
  <c r="G33" i="109" s="1"/>
  <c r="G29" i="92"/>
  <c r="G31" i="92" s="1"/>
  <c r="G37" i="39"/>
  <c r="G39" i="39" s="1"/>
  <c r="I7" i="62"/>
  <c r="O7" i="62" s="1"/>
  <c r="G35" i="7"/>
  <c r="G37" i="7" s="1"/>
  <c r="G43" i="19"/>
  <c r="G45" i="19" s="1"/>
  <c r="N21" i="5"/>
  <c r="G34" i="69"/>
  <c r="G36" i="69" s="1"/>
  <c r="I30" i="5"/>
  <c r="G42" i="78"/>
  <c r="G44" i="78" s="1"/>
  <c r="G35" i="85"/>
  <c r="G37" i="85" s="1"/>
  <c r="G31" i="105"/>
  <c r="G33" i="105" s="1"/>
  <c r="I25" i="5"/>
  <c r="I26" i="5"/>
  <c r="G35" i="108"/>
  <c r="G37" i="108" s="1"/>
  <c r="G35" i="104"/>
  <c r="G37" i="104" s="1"/>
  <c r="G32" i="14"/>
  <c r="G34" i="14" s="1"/>
  <c r="I9" i="62"/>
  <c r="O9" i="62" s="1"/>
  <c r="G45" i="68"/>
  <c r="G47" i="68" s="1"/>
  <c r="G40" i="76"/>
  <c r="G42" i="76" s="1"/>
  <c r="G32" i="89"/>
  <c r="G34" i="89" s="1"/>
  <c r="G36" i="110"/>
  <c r="G38" i="110" s="1"/>
  <c r="I28" i="5"/>
  <c r="G30" i="94"/>
  <c r="G32" i="94" s="1"/>
  <c r="G32" i="87"/>
  <c r="G34" i="87" s="1"/>
  <c r="K14" i="5"/>
  <c r="I10" i="5"/>
  <c r="O10" i="5" s="1"/>
  <c r="G46" i="21"/>
  <c r="G48" i="21" s="1"/>
  <c r="J19" i="62"/>
  <c r="P19" i="62" s="1"/>
  <c r="K9" i="62"/>
  <c r="J10" i="62"/>
  <c r="P10" i="62" s="1"/>
  <c r="K10" i="62"/>
  <c r="J6" i="62"/>
  <c r="P6" i="62" s="1"/>
  <c r="K6" i="62"/>
  <c r="J8" i="62"/>
  <c r="P8" i="62" s="1"/>
  <c r="K8" i="62"/>
  <c r="G46" i="17"/>
  <c r="G48" i="17" s="1"/>
  <c r="G33" i="20"/>
  <c r="P40" i="63" l="1"/>
  <c r="O40" i="63"/>
  <c r="J21" i="5"/>
  <c r="P21" i="5" s="1"/>
  <c r="J9" i="5"/>
  <c r="P9" i="5" s="1"/>
  <c r="J24" i="5"/>
  <c r="P24" i="5" s="1"/>
  <c r="O18" i="114"/>
  <c r="J18" i="114"/>
  <c r="P18" i="114" s="1"/>
  <c r="I7" i="5"/>
  <c r="O7" i="5" s="1"/>
  <c r="J9" i="114"/>
  <c r="P9" i="114" s="1"/>
  <c r="O21" i="114"/>
  <c r="J21" i="114"/>
  <c r="P21" i="114" s="1"/>
  <c r="O24" i="114"/>
  <c r="J24" i="114"/>
  <c r="P24" i="114" s="1"/>
  <c r="H8" i="114"/>
  <c r="N8" i="114" s="1"/>
  <c r="O5" i="114"/>
  <c r="J5" i="114"/>
  <c r="P5" i="114" s="1"/>
  <c r="J18" i="5"/>
  <c r="P18" i="5" s="1"/>
  <c r="I7" i="114"/>
  <c r="O7" i="114" s="1"/>
  <c r="J11" i="62"/>
  <c r="P11" i="62" s="1"/>
  <c r="J9" i="62"/>
  <c r="P9" i="62" s="1"/>
  <c r="E7" i="114"/>
  <c r="H13" i="114"/>
  <c r="N13" i="114" s="1"/>
  <c r="J14" i="5"/>
  <c r="P14" i="5" s="1"/>
  <c r="J14" i="114"/>
  <c r="P14" i="114" s="1"/>
  <c r="G49" i="43"/>
  <c r="G51" i="43" s="1"/>
  <c r="N31" i="5"/>
  <c r="K15" i="114"/>
  <c r="E12" i="114"/>
  <c r="J10" i="114"/>
  <c r="P10" i="114" s="1"/>
  <c r="K10" i="114"/>
  <c r="K8" i="114"/>
  <c r="O26" i="5"/>
  <c r="J26" i="5"/>
  <c r="P26" i="5" s="1"/>
  <c r="O27" i="5"/>
  <c r="J27" i="5"/>
  <c r="P27" i="5" s="1"/>
  <c r="O20" i="5"/>
  <c r="J20" i="5"/>
  <c r="P20" i="5" s="1"/>
  <c r="O25" i="5"/>
  <c r="J25" i="5"/>
  <c r="P25" i="5" s="1"/>
  <c r="O19" i="5"/>
  <c r="J19" i="5"/>
  <c r="P19" i="5" s="1"/>
  <c r="J7" i="62"/>
  <c r="P7" i="62" s="1"/>
  <c r="O23" i="5"/>
  <c r="J23" i="5"/>
  <c r="P23" i="5" s="1"/>
  <c r="O15" i="62"/>
  <c r="J15" i="62"/>
  <c r="P15" i="62" s="1"/>
  <c r="O22" i="5"/>
  <c r="J22" i="5"/>
  <c r="P22" i="5" s="1"/>
  <c r="O28" i="5"/>
  <c r="J28" i="5"/>
  <c r="P28" i="5" s="1"/>
  <c r="O30" i="5"/>
  <c r="J30" i="5"/>
  <c r="H9" i="35"/>
  <c r="E12" i="5"/>
  <c r="J10" i="5"/>
  <c r="P10" i="5" s="1"/>
  <c r="K20" i="62"/>
  <c r="E7" i="5"/>
  <c r="J7" i="5" l="1"/>
  <c r="P7" i="5" s="1"/>
  <c r="I12" i="5"/>
  <c r="J7" i="114"/>
  <c r="P7" i="114" s="1"/>
  <c r="K7" i="114"/>
  <c r="I12" i="114"/>
  <c r="O12" i="114" s="1"/>
  <c r="I15" i="5"/>
  <c r="O15" i="5" s="1"/>
  <c r="I15" i="114"/>
  <c r="I16" i="5"/>
  <c r="O16" i="5" s="1"/>
  <c r="I16" i="114"/>
  <c r="I13" i="114"/>
  <c r="I8" i="114"/>
  <c r="O8" i="114" s="1"/>
  <c r="P30" i="5"/>
  <c r="K12" i="114"/>
  <c r="P20" i="62"/>
  <c r="O12" i="5"/>
  <c r="K7" i="5"/>
  <c r="J12" i="5"/>
  <c r="P12" i="5" s="1"/>
  <c r="K12" i="5"/>
  <c r="J15" i="5" l="1"/>
  <c r="P15" i="5" s="1"/>
  <c r="J8" i="114"/>
  <c r="P8" i="114" s="1"/>
  <c r="O20" i="62"/>
  <c r="J12" i="114"/>
  <c r="P12" i="114" s="1"/>
  <c r="J16" i="5"/>
  <c r="P16" i="5" s="1"/>
  <c r="O16" i="114"/>
  <c r="J16" i="114"/>
  <c r="P16" i="114" s="1"/>
  <c r="O15" i="114"/>
  <c r="J15" i="114"/>
  <c r="P15" i="114" s="1"/>
  <c r="O13" i="114"/>
  <c r="J13" i="114"/>
  <c r="P13" i="114" s="1"/>
  <c r="J16" i="35"/>
  <c r="M16" i="35"/>
  <c r="L16" i="35"/>
  <c r="K16" i="35"/>
  <c r="M15" i="35"/>
  <c r="L15" i="35"/>
  <c r="K15" i="35"/>
  <c r="J15" i="35"/>
  <c r="K31" i="5"/>
  <c r="E27" i="35"/>
  <c r="P38" i="5" l="1"/>
  <c r="E26" i="35" s="1"/>
  <c r="O31" i="5"/>
  <c r="P31" i="5"/>
  <c r="J40" i="114" s="1"/>
  <c r="M13" i="35"/>
  <c r="L13" i="35"/>
  <c r="K13" i="35"/>
  <c r="J13" i="35"/>
  <c r="K14" i="35"/>
  <c r="J14" i="35"/>
  <c r="M14" i="35"/>
  <c r="L14" i="35"/>
  <c r="P39" i="114" l="1"/>
  <c r="P34" i="5"/>
  <c r="P35" i="5" s="1"/>
  <c r="P33" i="5"/>
  <c r="J41" i="114"/>
  <c r="E22" i="35"/>
  <c r="P32" i="5" l="1"/>
  <c r="P36" i="5" s="1"/>
  <c r="E23" i="35" l="1"/>
  <c r="L4" i="114"/>
  <c r="P37" i="5"/>
  <c r="E24" i="35" l="1"/>
  <c r="P41" i="5"/>
  <c r="N11" i="114"/>
  <c r="O29" i="114"/>
  <c r="K11" i="114"/>
  <c r="N6" i="114"/>
  <c r="M29" i="114"/>
  <c r="K17" i="114"/>
  <c r="L6" i="114"/>
  <c r="M11" i="114"/>
  <c r="K4" i="114"/>
  <c r="N4" i="114"/>
  <c r="O17" i="114"/>
  <c r="O11" i="114"/>
  <c r="L11" i="114"/>
  <c r="M17" i="114"/>
  <c r="L17" i="114"/>
  <c r="L29" i="114"/>
  <c r="K29" i="114"/>
  <c r="O4" i="114"/>
  <c r="O6" i="114"/>
  <c r="M4" i="114"/>
  <c r="N29" i="114"/>
  <c r="N17" i="114"/>
  <c r="M6" i="114"/>
  <c r="K6" i="114"/>
  <c r="E28" i="35"/>
  <c r="P11" i="114" l="1"/>
  <c r="K31" i="114"/>
  <c r="L31" i="114"/>
  <c r="O31" i="114"/>
  <c r="P29" i="114"/>
  <c r="P4" i="114"/>
  <c r="M31" i="114"/>
  <c r="N31" i="114"/>
  <c r="P6" i="114"/>
  <c r="P17" i="114"/>
  <c r="P31" i="114" l="1"/>
  <c r="P37" i="114" s="1"/>
  <c r="J38" i="114" l="1"/>
  <c r="P38" i="114" l="1"/>
  <c r="E25" i="35"/>
  <c r="E29" i="35" l="1"/>
  <c r="P42" i="114"/>
  <c r="E30" i="35" l="1"/>
  <c r="P43" i="114"/>
  <c r="J43" i="114" l="1"/>
  <c r="P44" i="114"/>
  <c r="P46" i="114" s="1"/>
  <c r="E31"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A21" authorId="0" shapeId="0" xr:uid="{C3980C86-5977-4F4C-80AC-A2D3B81C3B8D}">
      <text>
        <r>
          <rPr>
            <b/>
            <sz val="9"/>
            <color indexed="81"/>
            <rFont val="Tahoma"/>
            <family val="2"/>
          </rPr>
          <t>andrew paez:</t>
        </r>
        <r>
          <rPr>
            <sz val="9"/>
            <color indexed="81"/>
            <rFont val="Tahoma"/>
            <family val="2"/>
          </rPr>
          <t xml:space="preserve">
Ingrese el código del material para cargar los datos de la pestaña de Materiales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K29" authorId="0" shapeId="0" xr:uid="{5F3EA437-22A7-475C-BCD9-1A38946AA3D2}">
      <text>
        <r>
          <rPr>
            <b/>
            <sz val="9"/>
            <color indexed="81"/>
            <rFont val="Tahoma"/>
            <family val="2"/>
          </rPr>
          <t>andrew paez:</t>
        </r>
        <r>
          <rPr>
            <sz val="9"/>
            <color indexed="81"/>
            <rFont val="Tahoma"/>
            <family val="2"/>
          </rPr>
          <t xml:space="preserve">
Ingrese el código del Mano de obra para cargar los datos de la pestaña de Mano de obra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K29" authorId="0" shapeId="0" xr:uid="{7560FB80-99F0-422C-BED3-6D9981520BF7}">
      <text>
        <r>
          <rPr>
            <b/>
            <sz val="9"/>
            <color indexed="81"/>
            <rFont val="Tahoma"/>
            <family val="2"/>
          </rPr>
          <t>andrew paez:</t>
        </r>
        <r>
          <rPr>
            <sz val="9"/>
            <color indexed="81"/>
            <rFont val="Tahoma"/>
            <family val="2"/>
          </rPr>
          <t xml:space="preserve">
Ingrese el código del Mano de obra para cargar los datos de la pestaña de Mano de obra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K24" authorId="0" shapeId="0" xr:uid="{A3ABC402-4772-48D9-8431-01497EC8028A}">
      <text>
        <r>
          <rPr>
            <b/>
            <sz val="9"/>
            <color indexed="81"/>
            <rFont val="Tahoma"/>
            <family val="2"/>
          </rPr>
          <t>andrew paez:</t>
        </r>
        <r>
          <rPr>
            <sz val="9"/>
            <color indexed="81"/>
            <rFont val="Tahoma"/>
            <family val="2"/>
          </rPr>
          <t xml:space="preserve">
Ingrese el código del Mano de obra para cargar los datos de la pestaña de Mano de obra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A7" authorId="0" shapeId="0" xr:uid="{FA17F100-2821-4019-8119-0177437FCAFC}">
      <text>
        <r>
          <rPr>
            <b/>
            <sz val="9"/>
            <color indexed="81"/>
            <rFont val="Tahoma"/>
            <family val="2"/>
          </rPr>
          <t>andrew paez:</t>
        </r>
        <r>
          <rPr>
            <sz val="9"/>
            <color indexed="81"/>
            <rFont val="Tahoma"/>
            <family val="2"/>
          </rPr>
          <t xml:space="preserve">
Ingrese el código del material para cargar los datos de la pestaña de Materiales</t>
        </r>
      </text>
    </comment>
    <comment ref="A20" authorId="0" shapeId="0" xr:uid="{3B86FFAE-01A0-4CD9-9561-547331E63865}">
      <text>
        <r>
          <rPr>
            <b/>
            <sz val="9"/>
            <color indexed="81"/>
            <rFont val="Tahoma"/>
            <family val="2"/>
          </rPr>
          <t>andrew paez:</t>
        </r>
        <r>
          <rPr>
            <sz val="9"/>
            <color indexed="81"/>
            <rFont val="Tahoma"/>
            <family val="2"/>
          </rPr>
          <t xml:space="preserve">
Ingrese el código del material para cargar los datos de la pestaña de Materiales</t>
        </r>
      </text>
    </comment>
    <comment ref="A26" authorId="0" shapeId="0" xr:uid="{EE7D182B-7201-4C7C-A354-AEF60E8DEFFF}">
      <text>
        <r>
          <rPr>
            <b/>
            <sz val="9"/>
            <color indexed="81"/>
            <rFont val="Tahoma"/>
            <family val="2"/>
          </rPr>
          <t>andrew paez:</t>
        </r>
        <r>
          <rPr>
            <sz val="9"/>
            <color indexed="81"/>
            <rFont val="Tahoma"/>
            <family val="2"/>
          </rPr>
          <t xml:space="preserve">
Ingrese el código del material para cargar los datos de la pestaña de Materiales</t>
        </r>
      </text>
    </comment>
    <comment ref="A32" authorId="0" shapeId="0" xr:uid="{A57A1800-58AF-482C-9A85-AA022D295FD6}">
      <text>
        <r>
          <rPr>
            <b/>
            <sz val="9"/>
            <color indexed="81"/>
            <rFont val="Tahoma"/>
            <family val="2"/>
          </rPr>
          <t>andrew paez:</t>
        </r>
        <r>
          <rPr>
            <sz val="9"/>
            <color indexed="81"/>
            <rFont val="Tahoma"/>
            <family val="2"/>
          </rPr>
          <t xml:space="preserve">
Ingrese el código del Mano de obra para cargar los datos de la pestaña de Mano de obra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A7" authorId="0" shapeId="0" xr:uid="{FE2D94B6-B614-46C0-896F-9A0157DFBDC8}">
      <text>
        <r>
          <rPr>
            <b/>
            <sz val="9"/>
            <color indexed="81"/>
            <rFont val="Tahoma"/>
            <family val="2"/>
          </rPr>
          <t>andrew paez:</t>
        </r>
        <r>
          <rPr>
            <sz val="9"/>
            <color indexed="81"/>
            <rFont val="Tahoma"/>
            <family val="2"/>
          </rPr>
          <t xml:space="preserve">
Ingrese el código del material para cargar los datos de la pestaña de Materiales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A7" authorId="0" shapeId="0" xr:uid="{2CEC7A11-34D7-45A7-8CC0-0FA0DA28C5B7}">
      <text>
        <r>
          <rPr>
            <b/>
            <sz val="9"/>
            <color indexed="81"/>
            <rFont val="Tahoma"/>
            <family val="2"/>
          </rPr>
          <t>andrew paez:</t>
        </r>
        <r>
          <rPr>
            <sz val="9"/>
            <color indexed="81"/>
            <rFont val="Tahoma"/>
            <family val="2"/>
          </rPr>
          <t xml:space="preserve">
Ingrese el código del material para cargar los datos de la pestaña de Materiales</t>
        </r>
      </text>
    </comment>
    <comment ref="A24" authorId="0" shapeId="0" xr:uid="{4832FE1B-7859-4143-92AE-721BE2F8F5AD}">
      <text>
        <r>
          <rPr>
            <b/>
            <sz val="9"/>
            <color indexed="81"/>
            <rFont val="Tahoma"/>
            <family val="2"/>
          </rPr>
          <t>andrew paez:</t>
        </r>
        <r>
          <rPr>
            <sz val="9"/>
            <color indexed="81"/>
            <rFont val="Tahoma"/>
            <family val="2"/>
          </rPr>
          <t xml:space="preserve">
Ingrese el código del material para cargar los datos de la pestaña de Materiales</t>
        </r>
      </text>
    </comment>
    <comment ref="A31" authorId="0" shapeId="0" xr:uid="{643F6208-83D0-4FC1-9BA3-273DD5EFD88F}">
      <text>
        <r>
          <rPr>
            <b/>
            <sz val="9"/>
            <color indexed="81"/>
            <rFont val="Tahoma"/>
            <family val="2"/>
          </rPr>
          <t>andrew paez:</t>
        </r>
        <r>
          <rPr>
            <sz val="9"/>
            <color indexed="81"/>
            <rFont val="Tahoma"/>
            <family val="2"/>
          </rPr>
          <t xml:space="preserve">
Ingrese el código del material para cargar los datos de la pestaña de Materiales</t>
        </r>
      </text>
    </comment>
    <comment ref="A38" authorId="0" shapeId="0" xr:uid="{1AD618DC-A7FA-4633-B5DE-53A8B8E3F838}">
      <text>
        <r>
          <rPr>
            <b/>
            <sz val="9"/>
            <color indexed="81"/>
            <rFont val="Tahoma"/>
            <family val="2"/>
          </rPr>
          <t>andrew paez:</t>
        </r>
        <r>
          <rPr>
            <sz val="9"/>
            <color indexed="81"/>
            <rFont val="Tahoma"/>
            <family val="2"/>
          </rPr>
          <t xml:space="preserve">
Ingrese el código del Mano de obra para cargar los datos de la pestaña de Mano de obra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C12" authorId="0" shapeId="0" xr:uid="{4476A480-5CF7-4743-9ED7-06387030AA16}">
      <text>
        <r>
          <rPr>
            <b/>
            <sz val="9"/>
            <color indexed="81"/>
            <rFont val="Tahoma"/>
            <family val="2"/>
          </rPr>
          <t>andrew paez:</t>
        </r>
        <r>
          <rPr>
            <sz val="9"/>
            <color indexed="81"/>
            <rFont val="Tahoma"/>
            <family val="2"/>
          </rPr>
          <t xml:space="preserve">
Los rendimientos incluyen tiempos de desplazamiento a las zonas</t>
        </r>
      </text>
    </comment>
    <comment ref="C29" authorId="0" shapeId="0" xr:uid="{E944F82C-B288-4123-B145-9FE512DD56BC}">
      <text>
        <r>
          <rPr>
            <b/>
            <sz val="9"/>
            <color indexed="81"/>
            <rFont val="Tahoma"/>
            <family val="2"/>
          </rPr>
          <t>andrew paez:</t>
        </r>
        <r>
          <rPr>
            <sz val="9"/>
            <color indexed="81"/>
            <rFont val="Tahoma"/>
            <family val="2"/>
          </rPr>
          <t xml:space="preserve">
Los rendimientos incluyen tiempos de desplazamiento a las zonas</t>
        </r>
      </text>
    </comment>
  </commentList>
</comments>
</file>

<file path=xl/sharedStrings.xml><?xml version="1.0" encoding="utf-8"?>
<sst xmlns="http://schemas.openxmlformats.org/spreadsheetml/2006/main" count="4649" uniqueCount="1230">
  <si>
    <t>ANALISIS DE DISPERSION PLATO Y TENERIFE</t>
  </si>
  <si>
    <t>MUNICIPIO</t>
  </si>
  <si>
    <t>USUARIOS</t>
  </si>
  <si>
    <t>15 KW</t>
  </si>
  <si>
    <t>10 KW</t>
  </si>
  <si>
    <t>5KW</t>
  </si>
  <si>
    <t>INDIVIDUALES</t>
  </si>
  <si>
    <t>TOTAL</t>
  </si>
  <si>
    <t>PUNTOS</t>
  </si>
  <si>
    <t xml:space="preserve"> MAYOR 17</t>
  </si>
  <si>
    <t>9-16 USUARIOS</t>
  </si>
  <si>
    <t>5-8 USUARIOS</t>
  </si>
  <si>
    <t>PLATO</t>
  </si>
  <si>
    <t>TENERIFE</t>
  </si>
  <si>
    <t>Elaboró: IANOS DAVID PEREZ DIAZ</t>
  </si>
  <si>
    <t>M.P. 25202-76535</t>
  </si>
  <si>
    <t>ESTA HOJA DEFINE LOS RENDIMIENTOS DE LAS DIFERENTES ACTIVIDADES Y ESTÁ ESTRECHAMIENTE LIGADO A LOS APUS</t>
  </si>
  <si>
    <t>REPLANTEO</t>
  </si>
  <si>
    <t>Defina los rendimientos del replanteo</t>
  </si>
  <si>
    <t>Descripción</t>
  </si>
  <si>
    <t xml:space="preserve">Unidad </t>
  </si>
  <si>
    <t>Rendimiento</t>
  </si>
  <si>
    <t>Usuarios levantados por día en el replanteo por persona</t>
  </si>
  <si>
    <t>Usuarios/día*persona</t>
  </si>
  <si>
    <t>Usuarios levantados por viaje a las veredas por persona</t>
  </si>
  <si>
    <t>Usuarios/viaje*persona</t>
  </si>
  <si>
    <t>INSTALACIÓN DE LOS SISFV</t>
  </si>
  <si>
    <t>Tiempo (días)</t>
  </si>
  <si>
    <t>Juego de estructuras con soportes instaladas por día</t>
  </si>
  <si>
    <t>Unidades/día</t>
  </si>
  <si>
    <t>Juego de 6 metros de excavacion</t>
  </si>
  <si>
    <t>Juego de paneles solares instaladas por día</t>
  </si>
  <si>
    <t>Juego de acometidas subterraneas por día</t>
  </si>
  <si>
    <t>Gabinetes instalados por día</t>
  </si>
  <si>
    <t>Reguladores instalados por día</t>
  </si>
  <si>
    <t>Inversores instalados por día</t>
  </si>
  <si>
    <t>Baterías instaladas por día</t>
  </si>
  <si>
    <t>Medidores prepago instalados por día</t>
  </si>
  <si>
    <t>Puestas a tierra instaladas por día</t>
  </si>
  <si>
    <t>Instalaciones internas instaladas por día</t>
  </si>
  <si>
    <t>TIEMPO TOTAL DE INSTALACIÓN SISFV (1 CUADRILLA)</t>
  </si>
  <si>
    <t>INSTALACIÓN DE LAS MICROREDES</t>
  </si>
  <si>
    <t>NANO 1</t>
  </si>
  <si>
    <t>NANO 2</t>
  </si>
  <si>
    <t>NANO 3</t>
  </si>
  <si>
    <t>MICRO 1</t>
  </si>
  <si>
    <t>MICRO 2</t>
  </si>
  <si>
    <t>MICRO 3</t>
  </si>
  <si>
    <t>Cantidad</t>
  </si>
  <si>
    <t>Tiempo total</t>
  </si>
  <si>
    <t>Paneles solares</t>
  </si>
  <si>
    <t>Acometida solar</t>
  </si>
  <si>
    <t>Caja combinadora FV</t>
  </si>
  <si>
    <t>Controlador MPPT</t>
  </si>
  <si>
    <t>Tablero principal en DC</t>
  </si>
  <si>
    <t>Banco de baterías</t>
  </si>
  <si>
    <t>Inversor</t>
  </si>
  <si>
    <t>Tablero de inversores</t>
  </si>
  <si>
    <t>Autotransformador</t>
  </si>
  <si>
    <t>Tablero de distribución principal en AC</t>
  </si>
  <si>
    <t>Canalizaciones internas del envolvente</t>
  </si>
  <si>
    <t>Global/día</t>
  </si>
  <si>
    <t>Sistema de monitoreo y comunicaciones</t>
  </si>
  <si>
    <t>Equipos auxiliares y de emergencia</t>
  </si>
  <si>
    <t>SPT Microred</t>
  </si>
  <si>
    <t>Acometida domiciliaria</t>
  </si>
  <si>
    <t>SPT Domiciliario</t>
  </si>
  <si>
    <t>Sistema de medición domiciliario</t>
  </si>
  <si>
    <t>Red de distribución</t>
  </si>
  <si>
    <t>m/dia</t>
  </si>
  <si>
    <t>Estación meteorologica</t>
  </si>
  <si>
    <t>Transmisión telemetria</t>
  </si>
  <si>
    <t>Servidores</t>
  </si>
  <si>
    <t>Excavacion manual</t>
  </si>
  <si>
    <t>m3/dia</t>
  </si>
  <si>
    <t>Relleno y compactación con material de sitio</t>
  </si>
  <si>
    <t>Cerramiento en malla eslabonada</t>
  </si>
  <si>
    <t>Concreto 2000 PSI</t>
  </si>
  <si>
    <t>Concreto 3000 PSI</t>
  </si>
  <si>
    <t>Acero de refuerzo 4200 kg</t>
  </si>
  <si>
    <t>kg/dia</t>
  </si>
  <si>
    <t>Envolvente</t>
  </si>
  <si>
    <t>Estructura soporte paneles</t>
  </si>
  <si>
    <t>TOTAL OBRAS ENVOLVENTE (SIN ENVOLVENTE)</t>
  </si>
  <si>
    <t>TOTAL REDES DE DISTRIBUCIÓN</t>
  </si>
  <si>
    <t>Estudio Mercado Equipo y Herramienta</t>
  </si>
  <si>
    <t>cod</t>
  </si>
  <si>
    <t>UNIDAD</t>
  </si>
  <si>
    <t>Tarifa / día</t>
  </si>
  <si>
    <t>Fuente</t>
  </si>
  <si>
    <t>Fecha</t>
  </si>
  <si>
    <t>Herramienta menor</t>
  </si>
  <si>
    <t>UN</t>
  </si>
  <si>
    <t>Propia</t>
  </si>
  <si>
    <t>GPS</t>
  </si>
  <si>
    <t xml:space="preserve">http://cachicamoweb.com/producto/alquiler-de-gps-garmin/ </t>
  </si>
  <si>
    <t>Molde para soldadura</t>
  </si>
  <si>
    <t xml:space="preserve">https://interelectricas.com.co/puesta-a-tierra/812-molde-grounding-varilla-a-cable-en-t-5-8-a-4.html </t>
  </si>
  <si>
    <t>Camara y comunicaciones</t>
  </si>
  <si>
    <t>DIA</t>
  </si>
  <si>
    <t>Guadañadora</t>
  </si>
  <si>
    <t>https://www.homecenter.com.co/homecenter-co/product/677992/guadana-a-gasolina-husqvarna-profesional-545rx/677992/</t>
  </si>
  <si>
    <t>Compactador manual (saltarín) peso de operación (kg.) 52, fuerza de impacto por golpe (KN) 12</t>
  </si>
  <si>
    <t>HORA</t>
  </si>
  <si>
    <t>https://akirento.com/product/vibrocompactador-tipo-canguro/</t>
  </si>
  <si>
    <t xml:space="preserve">Mezcladora de concreto tipo trompo						</t>
  </si>
  <si>
    <t>https://akirento.com/product/mezcladora-de-concreto/</t>
  </si>
  <si>
    <t>Vibrador de concreto, potencia aproximada de 3 hp, mangueras de 4 a 6 metros</t>
  </si>
  <si>
    <t>https://akirento.com/product/vibrador-de-concreto/</t>
  </si>
  <si>
    <t>Equipo de oxicorte y soldadura, capacidad de corte 6"-14", incluye soldadura</t>
  </si>
  <si>
    <t>https://rentyherramientas.com/product/rol-air-6590hk18-6-1-2-hp-belt-drive-twin-tank-gas-powered-air-compressor/</t>
  </si>
  <si>
    <t>Herramienta para hoyar</t>
  </si>
  <si>
    <t>Estudio Mercado Transporte</t>
  </si>
  <si>
    <t>cod,</t>
  </si>
  <si>
    <t>Tipo de Transporte2</t>
  </si>
  <si>
    <t>Origen</t>
  </si>
  <si>
    <t>Destino</t>
  </si>
  <si>
    <t>Valor / Persona</t>
  </si>
  <si>
    <t>Valor / Kg</t>
  </si>
  <si>
    <t>Pasajeros aéreo</t>
  </si>
  <si>
    <t>Bogotá</t>
  </si>
  <si>
    <t>Barranquilla</t>
  </si>
  <si>
    <t>Pasaje terrestre</t>
  </si>
  <si>
    <t>Plato</t>
  </si>
  <si>
    <t>Carga terrestre desde Barranquilla</t>
  </si>
  <si>
    <t>5.1</t>
  </si>
  <si>
    <t>Carga terrestre desde municipios a veredas</t>
  </si>
  <si>
    <t>Cabecera Urbana Plato</t>
  </si>
  <si>
    <t>Veredas</t>
  </si>
  <si>
    <t>5.2</t>
  </si>
  <si>
    <t>Carga terrestre semoviente</t>
  </si>
  <si>
    <t>Carretera, trocha mas cercana</t>
  </si>
  <si>
    <t>usuario</t>
  </si>
  <si>
    <t>Carga terrestre desde Barranquilla hasta Usuario, incluye cargues, descargues, cruces de río, transporte semoviente, transporte en vehículo de carga pesada y cualquier otro tranposte.</t>
  </si>
  <si>
    <t xml:space="preserve">Carga Material Cantera hasta Veredas </t>
  </si>
  <si>
    <t>Cantera</t>
  </si>
  <si>
    <t>LISTADO DE TRANSPORTE</t>
  </si>
  <si>
    <t>#</t>
  </si>
  <si>
    <t>Código</t>
  </si>
  <si>
    <t>unidad</t>
  </si>
  <si>
    <t>Insumo</t>
  </si>
  <si>
    <t>Precio ($ COP)</t>
  </si>
  <si>
    <t>T0010400</t>
  </si>
  <si>
    <t>m3-km</t>
  </si>
  <si>
    <t>Transporte de agregados</t>
  </si>
  <si>
    <t>T0010004</t>
  </si>
  <si>
    <t>Transporte de arena</t>
  </si>
  <si>
    <t>T0010009</t>
  </si>
  <si>
    <t>Transporte de concreto</t>
  </si>
  <si>
    <t>T0010010</t>
  </si>
  <si>
    <t>Transporte de material de afirmado</t>
  </si>
  <si>
    <t>T0010020</t>
  </si>
  <si>
    <t>Transporte de material de base</t>
  </si>
  <si>
    <t>T0010062</t>
  </si>
  <si>
    <t>Transporte de material de relleno</t>
  </si>
  <si>
    <t>T0010030</t>
  </si>
  <si>
    <t>Transporte de material de sub-base</t>
  </si>
  <si>
    <t>PROMEDIO *(1+IPC)</t>
  </si>
  <si>
    <t>distancia a cantera</t>
  </si>
  <si>
    <t>Densidad promedio de material cantera</t>
  </si>
  <si>
    <t>1400 kg/m3</t>
  </si>
  <si>
    <t>valor de transporte kg</t>
  </si>
  <si>
    <t>distancia (Km)</t>
  </si>
  <si>
    <t>VALOR  M3-Km</t>
  </si>
  <si>
    <t>DISTANCIA PROMEDIO A VEREDAS DESDE PLATO</t>
  </si>
  <si>
    <t>Densidad promedio de m3</t>
  </si>
  <si>
    <t>500 kg/m3</t>
  </si>
  <si>
    <t xml:space="preserve">Valor Transporte por kg </t>
  </si>
  <si>
    <t>TRANSPORTE MULAR</t>
  </si>
  <si>
    <t xml:space="preserve"> Peso maximo que carga una mula (kg)</t>
  </si>
  <si>
    <t>VALOR DIA MULA</t>
  </si>
  <si>
    <t>Rendimiento diario de transporte mular (km/día)</t>
  </si>
  <si>
    <t>Costo Transporte en Mula por kg/km</t>
  </si>
  <si>
    <t xml:space="preserve">Costo de Distancia promedio transporte semoviente </t>
  </si>
  <si>
    <t>Distancia (km)</t>
  </si>
  <si>
    <t>Usuarios PLATO y TENERIFE</t>
  </si>
  <si>
    <t>Plato carretera</t>
  </si>
  <si>
    <t>carretera usuarios</t>
  </si>
  <si>
    <t>APURE</t>
  </si>
  <si>
    <t>BUENAVISTA</t>
  </si>
  <si>
    <t>CALLE LARGA</t>
  </si>
  <si>
    <t>CERRO GRANDE</t>
  </si>
  <si>
    <t>EL EDEN</t>
  </si>
  <si>
    <t>EL TORITO</t>
  </si>
  <si>
    <t>LA ESMERALDA</t>
  </si>
  <si>
    <t>LA ESPERANZA</t>
  </si>
  <si>
    <t>LA SECA</t>
  </si>
  <si>
    <t>LAS MINAS</t>
  </si>
  <si>
    <t>SANTA CATALINA</t>
  </si>
  <si>
    <t>TAMBORAI</t>
  </si>
  <si>
    <t>CHIVOLO</t>
  </si>
  <si>
    <t>LOS PATOS</t>
  </si>
  <si>
    <t>REAL DEL OBISPO</t>
  </si>
  <si>
    <t xml:space="preserve"> Promedio</t>
  </si>
  <si>
    <t>Distancia promedio habilitada para tránsito en la vía</t>
  </si>
  <si>
    <t>Distancia promedio desde la vía hasta el usuario (transporte semoviente)</t>
  </si>
  <si>
    <t>SMLV</t>
  </si>
  <si>
    <t>Año 2025</t>
  </si>
  <si>
    <t>Auxilio de transporte</t>
  </si>
  <si>
    <t>Margen de valores</t>
  </si>
  <si>
    <t>Base días hábiles x mes</t>
  </si>
  <si>
    <t>Estudio Mercado Mano de Obra (+10% de margen)(auxilio de transporte)</t>
  </si>
  <si>
    <t>Cargo</t>
  </si>
  <si>
    <t>Categoría</t>
  </si>
  <si>
    <t>Valor mensual base</t>
  </si>
  <si>
    <t>Margen positivo</t>
  </si>
  <si>
    <t>Valor mensual proyectado 2026</t>
  </si>
  <si>
    <t>Valor Jornal</t>
  </si>
  <si>
    <t>&gt;SMMLV</t>
  </si>
  <si>
    <t>Electricista</t>
  </si>
  <si>
    <t>Obra</t>
  </si>
  <si>
    <t>https://www.computrabajo.com.co/salarios/electricista</t>
  </si>
  <si>
    <t>Ayudante</t>
  </si>
  <si>
    <t>https://www.salariominimocolombia.net/</t>
  </si>
  <si>
    <t>Topografo</t>
  </si>
  <si>
    <t>https://www.computrabajo.com.co/salarios/topografoa</t>
  </si>
  <si>
    <t>Oficial de obra</t>
  </si>
  <si>
    <t>https://www.computrabajo.com.co/salarios/oficial-de-obra</t>
  </si>
  <si>
    <t>Ingeniero de sistemas</t>
  </si>
  <si>
    <t>Oficina</t>
  </si>
  <si>
    <t>https://www.computrabajo.com.co/salarios/ingenieroa-de-sistemas</t>
  </si>
  <si>
    <t>Director de Obra</t>
  </si>
  <si>
    <t>https://www.computrabajo.com.co/salarios/directora-de-proyectos</t>
  </si>
  <si>
    <t>Ingeniero Residente</t>
  </si>
  <si>
    <t>https://www.computrabajo.com.co/salarios/ingeniero-electricista</t>
  </si>
  <si>
    <t>Gerente</t>
  </si>
  <si>
    <t>https://www.computrabajo.com.co/salarios/gerente-general</t>
  </si>
  <si>
    <t>Contador</t>
  </si>
  <si>
    <t>https://www.computrabajo.com.co/salarios/contadora-publico</t>
  </si>
  <si>
    <t>Asesor Jurídico</t>
  </si>
  <si>
    <t>https://www.computrabajo.com.co/salarios/abogadoa</t>
  </si>
  <si>
    <t>Ingeniero Ambiental</t>
  </si>
  <si>
    <t>https://www.computrabajo.com.co/salarios/ingeniero-ambiental</t>
  </si>
  <si>
    <t>Profesional SGSST</t>
  </si>
  <si>
    <t>https://www.computrabajo.com.co/salarios/siso</t>
  </si>
  <si>
    <t>Ingeniero Civil</t>
  </si>
  <si>
    <t>https://www.computrabajo.com.co/salarios/ingeniero-civil</t>
  </si>
  <si>
    <t>Trabajador Social</t>
  </si>
  <si>
    <t>https://www.computrabajo.com.co/salarios/trabajador-social</t>
  </si>
  <si>
    <t>Servicios Generales</t>
  </si>
  <si>
    <t>Almacenista</t>
  </si>
  <si>
    <t>Seguridad privada</t>
  </si>
  <si>
    <t>https://www.computrabajo.com.co/salarios/seguridad-privada</t>
  </si>
  <si>
    <t>Director de interventoría</t>
  </si>
  <si>
    <t>Profesional especialista en SISFV</t>
  </si>
  <si>
    <t>https://www.computrabajo.com.co/salarios/ingeniero-especialista</t>
  </si>
  <si>
    <t>Supervisor de Obra</t>
  </si>
  <si>
    <t>obra</t>
  </si>
  <si>
    <t>https://co.computrabajo.com/salarios/supervisora-de-obra</t>
  </si>
  <si>
    <t>Soldador</t>
  </si>
  <si>
    <t>https://co.computrabajo.com/salarios/soldador</t>
  </si>
  <si>
    <t>FACTOR PRESTACIONAL</t>
  </si>
  <si>
    <t>A  -  DESCANSOS REMUNERADOS</t>
  </si>
  <si>
    <t xml:space="preserve">        1.  VACACIONES</t>
  </si>
  <si>
    <t xml:space="preserve">        TOTAL DESCANSOS REMUNERADOS</t>
  </si>
  <si>
    <t xml:space="preserve">B  -  PRESTACIONES LEGALES </t>
  </si>
  <si>
    <t xml:space="preserve">        1.  CESANTIAS</t>
  </si>
  <si>
    <t xml:space="preserve">        2.  INTERESES CESANTIAS</t>
  </si>
  <si>
    <t xml:space="preserve">        3.  PRIMA DE SERVICIOS</t>
  </si>
  <si>
    <t xml:space="preserve">        TOTAL PRESTACIONES LEGALES</t>
  </si>
  <si>
    <t>C  -  APORTES PATRONALES</t>
  </si>
  <si>
    <t xml:space="preserve">        1.  SALUD</t>
  </si>
  <si>
    <t xml:space="preserve">        2.  PENSIÓN</t>
  </si>
  <si>
    <t xml:space="preserve">        3.  RIESGOS PROFESIONALES (NIVEL IV)</t>
  </si>
  <si>
    <t xml:space="preserve">        4.  CAJA DE COMPENSACIÓN</t>
  </si>
  <si>
    <t xml:space="preserve">        TOTAL APORTES PATRONALES</t>
  </si>
  <si>
    <t>D  -  OTROS COSTOS PRESTACIONALES</t>
  </si>
  <si>
    <t xml:space="preserve">        1.  DOTACION</t>
  </si>
  <si>
    <t xml:space="preserve">        2.  OTROS (SEGURO, AUXILIOS, INCAPACIDADES)</t>
  </si>
  <si>
    <t xml:space="preserve">        TOTAL OTROS COSTOS PRESTACIONALES</t>
  </si>
  <si>
    <t>E  -  FACTOR PRESTACIONAL</t>
  </si>
  <si>
    <t xml:space="preserve">        1.  JORNAL</t>
  </si>
  <si>
    <t xml:space="preserve">        2.  DESCANSOS REMUNERADOS</t>
  </si>
  <si>
    <t xml:space="preserve">        3.  PRESTACIONES LEGALES</t>
  </si>
  <si>
    <t xml:space="preserve">        4.  APORTES PATRONALES</t>
  </si>
  <si>
    <t xml:space="preserve">        5.  OTROS COSTOS PRESTACIONALES</t>
  </si>
  <si>
    <t xml:space="preserve">        FACTOR PRESTACIONAL</t>
  </si>
  <si>
    <t>día</t>
  </si>
  <si>
    <t>un</t>
  </si>
  <si>
    <t>DESCRIPCIÓN</t>
  </si>
  <si>
    <t xml:space="preserve"> IMPLEMENTACIÓN DE SOLUCIONES ENERGÉTICAS SOSTENIBLES CON FUENTES NO CONVENCIONALES, PARA LAS COMUNIDADES RURALES 
DEL MUNICIPIO DE PLATO Y TENERIFE DEL DEPARTAMENTO MAGDALENA.				</t>
  </si>
  <si>
    <t>IMPLEMENTACIÓN PLAN DE GESTIÓN SOCIAL</t>
  </si>
  <si>
    <t>MATERIALES</t>
  </si>
  <si>
    <t>Ítem</t>
  </si>
  <si>
    <t>Unidad</t>
  </si>
  <si>
    <t>Vr. Unitario</t>
  </si>
  <si>
    <t>Vr. Parcial</t>
  </si>
  <si>
    <t>valor general de la actividad</t>
  </si>
  <si>
    <t xml:space="preserve">Programa - Control social / Participación ciudadana  </t>
  </si>
  <si>
    <r>
      <t xml:space="preserve">Convocatoria  masivas a cada uno de los 02 municipios. (El plan será utilizado a lo largo de las convocatorias que requiera el proyecto).
</t>
    </r>
    <r>
      <rPr>
        <b/>
        <sz val="11"/>
        <color theme="1"/>
        <rFont val="Calibri"/>
        <family val="2"/>
        <scheme val="minor"/>
      </rPr>
      <t>*Nota:</t>
    </r>
    <r>
      <rPr>
        <sz val="11"/>
        <color theme="1"/>
        <rFont val="Calibri"/>
        <family val="2"/>
        <scheme val="minor"/>
      </rPr>
      <t xml:space="preserve"> la convocatoria se deberá realizar para la totalidad de actividades del programa </t>
    </r>
    <r>
      <rPr>
        <i/>
        <sz val="11"/>
        <color theme="1"/>
        <rFont val="Calibri"/>
        <family val="2"/>
        <scheme val="minor"/>
      </rPr>
      <t xml:space="preserve"> Control social / Participación ciudadana</t>
    </r>
    <r>
      <rPr>
        <sz val="11"/>
        <color theme="1"/>
        <rFont val="Calibri"/>
        <family val="2"/>
        <scheme val="minor"/>
      </rPr>
      <t xml:space="preserve">  y </t>
    </r>
    <r>
      <rPr>
        <i/>
        <sz val="11"/>
        <color theme="1"/>
        <rFont val="Calibri"/>
        <family val="2"/>
        <scheme val="minor"/>
      </rPr>
      <t xml:space="preserve">capacitaciones transversales, </t>
    </r>
    <r>
      <rPr>
        <sz val="11"/>
        <color theme="1"/>
        <rFont val="Calibri"/>
        <family val="2"/>
        <scheme val="minor"/>
      </rPr>
      <t>de acuerdo con el cronograma definido.</t>
    </r>
  </si>
  <si>
    <t xml:space="preserve">Mes </t>
  </si>
  <si>
    <t xml:space="preserve">Convocatoria por medios interpersonales: una persona por cada uno de los 02 municipios. </t>
  </si>
  <si>
    <t>Día</t>
  </si>
  <si>
    <r>
      <t xml:space="preserve">Gastos de transporte de los profesionales que realizarán las diferentes capacitaciones y/o talleres.
</t>
    </r>
    <r>
      <rPr>
        <b/>
        <sz val="11"/>
        <color rgb="FF000000"/>
        <rFont val="Calibri"/>
        <family val="2"/>
        <scheme val="minor"/>
      </rPr>
      <t>*Nota:</t>
    </r>
    <r>
      <rPr>
        <sz val="11"/>
        <color rgb="FF000000"/>
        <rFont val="Calibri"/>
        <family val="2"/>
        <scheme val="minor"/>
      </rPr>
      <t xml:space="preserve"> los valores están contemplados dentro del presupuesto general.</t>
    </r>
  </si>
  <si>
    <t>Ida y regreso</t>
  </si>
  <si>
    <r>
      <t xml:space="preserve">Gastos de honorarios de  los profesionales que realizarán las diferentes capacitaciones y/o talleres.
</t>
    </r>
    <r>
      <rPr>
        <b/>
        <sz val="11"/>
        <color theme="1"/>
        <rFont val="Calibri"/>
        <family val="2"/>
        <scheme val="minor"/>
      </rPr>
      <t>*Nota:</t>
    </r>
    <r>
      <rPr>
        <sz val="11"/>
        <color theme="1"/>
        <rFont val="Calibri"/>
        <family val="2"/>
        <scheme val="minor"/>
      </rPr>
      <t xml:space="preserve"> los valores están contemplados dentro del presupuesto general.</t>
    </r>
  </si>
  <si>
    <t>Actividad 1: Socialización inicial del proyecto:</t>
  </si>
  <si>
    <r>
      <t xml:space="preserve">Refrigerios para la jornada de socialización se estima la asistencia de:  representantes de la gobernación (02), de dos representantes  por ente territorial (04), representantes del operador de red (02),  representantes de los entes de control (02),  dos representantes de ASOJUNTAS por municipio (04) y  representatividad del 50% de los usuarios (330).
</t>
    </r>
    <r>
      <rPr>
        <b/>
        <sz val="11"/>
        <color theme="1"/>
        <rFont val="Calibri"/>
        <family val="2"/>
        <scheme val="minor"/>
      </rPr>
      <t>*Nota:</t>
    </r>
    <r>
      <rPr>
        <sz val="11"/>
        <color theme="1"/>
        <rFont val="Calibri"/>
        <family val="2"/>
        <scheme val="minor"/>
      </rPr>
      <t xml:space="preserve"> todos los  refrigerios mencionados en las diferentes actividades de programa 1 y 2, deberá contener como mínimo cuatro productos: 1líquido, 2 alimentos sólidos de sal y 1alimento solido de azúcar.</t>
    </r>
  </si>
  <si>
    <t>Und</t>
  </si>
  <si>
    <t>Almuerzos para la jornada de socialización: se estima la asistencia descrita en los refrigerios.</t>
  </si>
  <si>
    <t>Gastos de transporte para las comunidades: se estima la asistencia del 50% de los usuarios (330).</t>
  </si>
  <si>
    <t>Día  (ida y vuelta)</t>
  </si>
  <si>
    <t>Alquiler mobiliario, salón, sonido, computador, ventilador y  video Beam.</t>
  </si>
  <si>
    <t>Punto ecológico (Para disposición  de materiales de desechos de las actividades del programa  Control social / Participación ciudadana  y capacitaciones transversales).</t>
  </si>
  <si>
    <t>Actividad 2: Conformación del Comité de Acompañamiento Comunitario  (CAC) - Capacitación</t>
  </si>
  <si>
    <t>Refrigerios y almuerzo (estos gastos solo es para los miembros del CAC, se estima un promedio de 19 personas calculándolas  de la siguiente manera:  Plato: 12 personas y Tenerfie: 07 personas.</t>
  </si>
  <si>
    <t>Gastos de transporte para los integrantes del CAC para desplazarse al casco urbanos a inscribir el CAC y ser capacitados por personería municipal, (se estima un promedio de 19 personas que estarán un día realizando estas actividades)</t>
  </si>
  <si>
    <t>Actividad 3: Reunión de seguimiento (Se propone mínimo 1 en la ejecución del contrato)</t>
  </si>
  <si>
    <t>Refrigerios reunión de seguimiento: se estima la participación de dos representantes por usuario.</t>
  </si>
  <si>
    <t xml:space="preserve">Personal local que acompaña al profesional que presentará  los avances del contrato, en los desplazamientos que se realicen por cada vereda. </t>
  </si>
  <si>
    <r>
      <t xml:space="preserve">Gastos de transporte y honorarios de los profesionales que presentarán la reunión de seguimiento.
</t>
    </r>
    <r>
      <rPr>
        <b/>
        <sz val="11"/>
        <color rgb="FF000000"/>
        <rFont val="Calibri"/>
        <family val="2"/>
        <scheme val="minor"/>
      </rPr>
      <t>*Nota:</t>
    </r>
    <r>
      <rPr>
        <sz val="11"/>
        <color rgb="FF000000"/>
        <rFont val="Calibri"/>
        <family val="2"/>
        <scheme val="minor"/>
      </rPr>
      <t xml:space="preserve"> los valores están contemplados dentro del presupuesto general.</t>
    </r>
  </si>
  <si>
    <t>Actividad 4: Evento de entrega formal de la solución energética, feria comercial, productiva, muestra cultural o gastronómica</t>
  </si>
  <si>
    <t>Refrigerios para la jornada de socialización se estima la asistencia de:  representantes de la gobernación (02), de dos representantes  por ente territorial (04), representantes del operador de red (02),  representantes de los entes de control (02),  dos representantes de ASOJUNTAS por municipio (04) y  representatividad del 50% de los usuarios (330).</t>
  </si>
  <si>
    <t>Almuerzos para la jornada de evento de cierre: se estima la asistencia descrita en los refrigerios.</t>
  </si>
  <si>
    <t>Gastos de transporte para las comunidades:  se estima la asistencia del 50% de los usuarios (330).</t>
  </si>
  <si>
    <r>
      <t xml:space="preserve">Gastos de transporte y honorarios de los profesionales que harán la entrega formal del proyecto en el evento final.
</t>
    </r>
    <r>
      <rPr>
        <b/>
        <sz val="11"/>
        <color rgb="FF000000"/>
        <rFont val="Calibri"/>
        <family val="2"/>
        <scheme val="minor"/>
      </rPr>
      <t>*Nota:</t>
    </r>
    <r>
      <rPr>
        <sz val="11"/>
        <color rgb="FF000000"/>
        <rFont val="Calibri"/>
        <family val="2"/>
        <scheme val="minor"/>
      </rPr>
      <t xml:space="preserve"> los valores están contemplados dentro del presupuesto general.</t>
    </r>
  </si>
  <si>
    <t>Programa -  Capacitaciones transversales</t>
  </si>
  <si>
    <t>Personal local que acompaña al profesional que presentará  los avances del contrato, en los desplazamientos que se realicen desde una comunidad a otra.</t>
  </si>
  <si>
    <t xml:space="preserve"> Actividad 1. Capacitaciones por grupos poblacionales: </t>
  </si>
  <si>
    <t>Mujeres, paz y energía</t>
  </si>
  <si>
    <t>Refrigerios: se estima asistencia de las mujeres que son usuarias principales  del proyecto (230) y las mujeres que habitan en las viviendas de 14 a 18 años (102).
Duración: 3 días</t>
  </si>
  <si>
    <t xml:space="preserve">Und </t>
  </si>
  <si>
    <t>Gastos de materiales (resma, colores, esferos, papel periódico, cartulina, cinta, marcadores  y fichas bibliográficas)</t>
  </si>
  <si>
    <t>Centinelas de la energía</t>
  </si>
  <si>
    <t>Refrigerios: se estima asistencia de un niño, niña, adolescente o  joven  por vivienda a beneficiar.
Duración: 3 días</t>
  </si>
  <si>
    <t>Cartillas centinelas de la energía.</t>
  </si>
  <si>
    <t>Gastos de materiales didácticos para muestra física.</t>
  </si>
  <si>
    <t>Proyectos productivos y/o emprendimientos con el uso eficiente de la energía</t>
  </si>
  <si>
    <t>Refrigerios: se estima asistencia de una persona por usuario beneficiado. 
Duración: 4 días</t>
  </si>
  <si>
    <t>Gastos de materiales didácticos para la capacitación.</t>
  </si>
  <si>
    <t>Actividad 2: Sostenibilidad y apropiación de la infraestructura (Educación y sensibilización ambiental, uso racional de la energía y cultura de pago y manual de operaciones básicas)</t>
  </si>
  <si>
    <t>Refrigerios: se estiman asistencia del 100% de los beneficiarios y un representante de ASOJUNTAS por municipio.
Duración: 4 días</t>
  </si>
  <si>
    <t>Acrílicos (contiene información de manejo de las soluciones individuales medidas: 20x30 cm).</t>
  </si>
  <si>
    <t>Impresión a escala de la solución energética Concentrada.</t>
  </si>
  <si>
    <t>Impresión a escala de la solución energética SISFV.</t>
  </si>
  <si>
    <t xml:space="preserve">Actividad 3: Escuela de Formación para la Transición Energética Justa –Escuela TEJ </t>
  </si>
  <si>
    <t>Momento 1 - Diálogo social e inicio montaje solución energética</t>
  </si>
  <si>
    <t>Refrigerios: se estiman asistencia del 100% de los beneficiarios y un representante de ASOJUNTAS por municipio.</t>
  </si>
  <si>
    <t>Materiales  (Papel periódico, marcadores borrables, hojas blancas, cartulina, colores, dado, cinta, post-its, pinceles, alambre, esferos, fichas bibliográficas,  etc)</t>
  </si>
  <si>
    <t>Plotter con esquema de la cadena de la energía.</t>
  </si>
  <si>
    <t>Tarjetones con los momentos de la cadena de la energía.(Producción, Transformación,
Transmisión, Distribución y Comercialización)</t>
  </si>
  <si>
    <t>Placa de madera, arcilla u otro material</t>
  </si>
  <si>
    <t>Temperas en aceite.</t>
  </si>
  <si>
    <t>Trjetones con preguntas problematizadoras</t>
  </si>
  <si>
    <t>Caja soluciones: Piezas gráficas con la norma</t>
  </si>
  <si>
    <t>Momento 2 - Diálogo social de monitoreo y sostenibilidad</t>
  </si>
  <si>
    <t>Gastos de papelería</t>
  </si>
  <si>
    <t>Imagen de referencia de rompecabezas, tamaño 1/2 pliego.</t>
  </si>
  <si>
    <t>Ploter Pacto por la JET</t>
  </si>
  <si>
    <t>VALOR POR USUARIO</t>
  </si>
  <si>
    <r>
      <rPr>
        <b/>
        <sz val="14"/>
        <rFont val="Arial"/>
        <family val="2"/>
      </rPr>
      <t>IMPLEMENTACIÓN DE SOLUCIONES ENERGÉTICAS SOSTENIBLES CON FUENTES NO CONVENCIONALES, PARA LAS COMUNIDADES RURALES DEL MUNICIPIO DE PLATO Y TENERIFE, DEPARTAMENTO DE MAGDALENA.</t>
    </r>
  </si>
  <si>
    <r>
      <rPr>
        <b/>
        <sz val="11"/>
        <rFont val="Arial"/>
        <family val="2"/>
      </rPr>
      <t>IMPLEMENTACIÓN PLAN DE MANEJO AMBIENTAL</t>
    </r>
  </si>
  <si>
    <r>
      <rPr>
        <b/>
        <sz val="11"/>
        <rFont val="Arial"/>
        <family val="2"/>
      </rPr>
      <t>MATERIALES</t>
    </r>
  </si>
  <si>
    <r>
      <rPr>
        <b/>
        <sz val="11"/>
        <rFont val="Arial"/>
        <family val="2"/>
      </rPr>
      <t>USUARIOS</t>
    </r>
  </si>
  <si>
    <r>
      <rPr>
        <b/>
        <sz val="11"/>
        <rFont val="Arial"/>
        <family val="2"/>
      </rPr>
      <t>Ítem</t>
    </r>
  </si>
  <si>
    <r>
      <rPr>
        <b/>
        <sz val="11"/>
        <rFont val="Arial"/>
        <family val="2"/>
      </rPr>
      <t>Descripción</t>
    </r>
  </si>
  <si>
    <r>
      <rPr>
        <b/>
        <sz val="11"/>
        <rFont val="Arial"/>
        <family val="2"/>
      </rPr>
      <t>Unidad</t>
    </r>
  </si>
  <si>
    <r>
      <rPr>
        <b/>
        <sz val="11"/>
        <rFont val="Arial"/>
        <family val="2"/>
      </rPr>
      <t>Cantidad</t>
    </r>
  </si>
  <si>
    <r>
      <rPr>
        <b/>
        <sz val="11"/>
        <rFont val="Arial"/>
        <family val="2"/>
      </rPr>
      <t>Vr. Unitario</t>
    </r>
  </si>
  <si>
    <r>
      <rPr>
        <b/>
        <sz val="11"/>
        <rFont val="Arial"/>
        <family val="2"/>
      </rPr>
      <t>Vr. Parcial</t>
    </r>
  </si>
  <si>
    <r>
      <rPr>
        <b/>
        <sz val="11"/>
        <rFont val="Arial"/>
        <family val="2"/>
      </rPr>
      <t>valor general de la actividad</t>
    </r>
  </si>
  <si>
    <r>
      <rPr>
        <b/>
        <i/>
        <sz val="11"/>
        <rFont val="Arial"/>
        <family val="2"/>
      </rPr>
      <t>Manejo De Residuos Sólidos Ordinarios</t>
    </r>
  </si>
  <si>
    <r>
      <rPr>
        <sz val="11"/>
        <rFont val="Arial MT"/>
        <family val="2"/>
      </rPr>
      <t>Punto ecológico (Tres puestos 55 Lts) (por punto de acopio)</t>
    </r>
  </si>
  <si>
    <r>
      <rPr>
        <sz val="11"/>
        <rFont val="Calibri"/>
        <family val="1"/>
      </rPr>
      <t>und</t>
    </r>
  </si>
  <si>
    <r>
      <rPr>
        <sz val="11"/>
        <rFont val="Arial MT"/>
        <family val="2"/>
      </rPr>
      <t>Bolsas plásticas código de colores</t>
    </r>
  </si>
  <si>
    <r>
      <rPr>
        <sz val="11"/>
        <rFont val="Calibri"/>
        <family val="1"/>
      </rPr>
      <t>paq</t>
    </r>
  </si>
  <si>
    <r>
      <rPr>
        <sz val="11"/>
        <rFont val="Arial MT"/>
        <family val="2"/>
      </rPr>
      <t>Cinta de señalización peligro x 500 Metros ''Peligro No Pase"</t>
    </r>
  </si>
  <si>
    <r>
      <rPr>
        <sz val="11"/>
        <rFont val="Arial MT"/>
        <family val="2"/>
      </rPr>
      <t>Manilas de amarre polipropileno</t>
    </r>
  </si>
  <si>
    <r>
      <rPr>
        <sz val="11"/>
        <rFont val="Arial MT"/>
        <family val="2"/>
      </rPr>
      <t>Señalización sitio de almacenamiento y manejo de residuos (paquete x 6 unid)</t>
    </r>
  </si>
  <si>
    <r>
      <rPr>
        <sz val="11"/>
        <rFont val="Verdana"/>
        <family val="2"/>
      </rPr>
      <t>Transporte de residuos</t>
    </r>
  </si>
  <si>
    <r>
      <rPr>
        <sz val="11"/>
        <rFont val="Arial MT"/>
        <family val="2"/>
      </rPr>
      <t>Talento humano: Profesional Ambiental, Ayudante ambiental (orden y aseo).</t>
    </r>
  </si>
  <si>
    <r>
      <rPr>
        <b/>
        <i/>
        <sz val="11"/>
        <rFont val="Verdana"/>
        <family val="2"/>
      </rPr>
      <t>Manejo y disposición final de residuos RESPEL Y RAEE´s</t>
    </r>
  </si>
  <si>
    <r>
      <rPr>
        <sz val="11"/>
        <rFont val="Verdana"/>
        <family val="2"/>
      </rPr>
      <t>Contenedor RERSPEL (caneca tapa rosca 55 gal - por punto de acopio)</t>
    </r>
  </si>
  <si>
    <r>
      <rPr>
        <sz val="11"/>
        <rFont val="Verdana"/>
        <family val="2"/>
      </rPr>
      <t>und</t>
    </r>
  </si>
  <si>
    <r>
      <rPr>
        <sz val="11"/>
        <rFont val="Verdana"/>
        <family val="2"/>
      </rPr>
      <t>Contenedor RAEE's (caneca tapa rosca 55 gal - por punto de acopio)</t>
    </r>
  </si>
  <si>
    <r>
      <rPr>
        <sz val="11"/>
        <rFont val="Verdana"/>
        <family val="2"/>
      </rPr>
      <t>Bolsas plásticas (paquete de 50 bolsas)</t>
    </r>
  </si>
  <si>
    <r>
      <rPr>
        <sz val="11"/>
        <rFont val="Verdana"/>
        <family val="2"/>
      </rPr>
      <t>paq</t>
    </r>
  </si>
  <si>
    <r>
      <rPr>
        <sz val="11"/>
        <rFont val="Verdana"/>
        <family val="2"/>
      </rPr>
      <t>Kit para atención de derrames (por punto de acopio)</t>
    </r>
  </si>
  <si>
    <r>
      <rPr>
        <sz val="11"/>
        <rFont val="Verdana"/>
        <family val="2"/>
      </rPr>
      <t>Estibas antiderrames (dos por punto de acopio)</t>
    </r>
  </si>
  <si>
    <r>
      <rPr>
        <sz val="11"/>
        <rFont val="Verdana"/>
        <family val="2"/>
      </rPr>
      <t>Etiquetado RESPEL</t>
    </r>
  </si>
  <si>
    <r>
      <rPr>
        <sz val="11"/>
        <rFont val="Verdana"/>
        <family val="2"/>
      </rPr>
      <t>Manilas de amarre polipropileno</t>
    </r>
  </si>
  <si>
    <r>
      <rPr>
        <sz val="11"/>
        <rFont val="Verdana"/>
        <family val="2"/>
      </rPr>
      <t>Talento humano: Profesional Ambiental, Ayudante ambiental (orden y aseo).</t>
    </r>
  </si>
  <si>
    <r>
      <rPr>
        <b/>
        <i/>
        <sz val="11"/>
        <rFont val="Verdana"/>
        <family val="2"/>
      </rPr>
      <t>Manejo de transporte, equipos y almacenamiento de materiales</t>
    </r>
  </si>
  <si>
    <r>
      <rPr>
        <sz val="11"/>
        <rFont val="Verdana"/>
        <family val="2"/>
      </rPr>
      <t>Kit portatil de derrames</t>
    </r>
  </si>
  <si>
    <r>
      <rPr>
        <b/>
        <i/>
        <sz val="11"/>
        <rFont val="Verdana"/>
        <family val="2"/>
      </rPr>
      <t>Medidas Para Manejo De Suelos</t>
    </r>
  </si>
  <si>
    <r>
      <rPr>
        <sz val="11"/>
        <rFont val="Verdana"/>
        <family val="2"/>
      </rPr>
      <t>Cinta de señalización - demarcación x 500 mts (por usuario 6m) y microrredes (80m))</t>
    </r>
  </si>
  <si>
    <r>
      <rPr>
        <sz val="11"/>
        <rFont val="Verdana"/>
        <family val="2"/>
      </rPr>
      <t>Plástico calibre 2.6</t>
    </r>
  </si>
  <si>
    <r>
      <rPr>
        <sz val="11"/>
        <rFont val="Verdana"/>
        <family val="2"/>
      </rPr>
      <t>mts</t>
    </r>
  </si>
  <si>
    <r>
      <rPr>
        <sz val="11"/>
        <rFont val="Verdana"/>
        <family val="2"/>
      </rPr>
      <t>Plástico Negro de 10 Metros de Ancho Calibre 8 Impermeabilizante</t>
    </r>
  </si>
  <si>
    <r>
      <rPr>
        <sz val="11"/>
        <rFont val="Verdana"/>
        <family val="2"/>
      </rPr>
      <t>Talento humano: Profesional Ambiental, Ayudante.</t>
    </r>
  </si>
  <si>
    <r>
      <rPr>
        <b/>
        <sz val="11"/>
        <rFont val="Arial"/>
        <family val="2"/>
      </rPr>
      <t>TOTAL</t>
    </r>
  </si>
  <si>
    <r>
      <rPr>
        <b/>
        <sz val="11"/>
        <rFont val="Arial"/>
        <family val="2"/>
      </rPr>
      <t>VALOR POR USUARIO</t>
    </r>
  </si>
  <si>
    <t>gl</t>
  </si>
  <si>
    <t>MEMORIA DE CANTIDADES CIVILES</t>
  </si>
  <si>
    <t>SISTEMA INDIVIDUAL SOLAR FOTOVOLTAICO (3 PANELES)</t>
  </si>
  <si>
    <t xml:space="preserve">Excavación </t>
  </si>
  <si>
    <t>B (m)=</t>
  </si>
  <si>
    <t>H (m)=</t>
  </si>
  <si>
    <r>
      <t>Vol. (m</t>
    </r>
    <r>
      <rPr>
        <i/>
        <vertAlign val="superscript"/>
        <sz val="10"/>
        <rFont val="Arial"/>
        <family val="2"/>
      </rPr>
      <t>3</t>
    </r>
    <r>
      <rPr>
        <i/>
        <sz val="10"/>
        <rFont val="Arial"/>
        <family val="2"/>
      </rPr>
      <t>)=</t>
    </r>
  </si>
  <si>
    <t>solado</t>
  </si>
  <si>
    <t>Cemento (kg)=</t>
  </si>
  <si>
    <t>*Dosificación de concreto 16 MPa</t>
  </si>
  <si>
    <r>
      <t>Agregado fino (m</t>
    </r>
    <r>
      <rPr>
        <vertAlign val="superscript"/>
        <sz val="9"/>
        <rFont val="Arial"/>
        <family val="2"/>
      </rPr>
      <t>3</t>
    </r>
    <r>
      <rPr>
        <sz val="9"/>
        <rFont val="Arial"/>
        <family val="2"/>
      </rPr>
      <t>)=</t>
    </r>
  </si>
  <si>
    <r>
      <t>Agregado grueso (m</t>
    </r>
    <r>
      <rPr>
        <vertAlign val="superscript"/>
        <sz val="9"/>
        <rFont val="Arial"/>
        <family val="2"/>
      </rPr>
      <t>3</t>
    </r>
    <r>
      <rPr>
        <sz val="9"/>
        <rFont val="Arial"/>
        <family val="2"/>
      </rPr>
      <t>)=</t>
    </r>
  </si>
  <si>
    <t>Agua (L)=</t>
  </si>
  <si>
    <t>Cimentación</t>
  </si>
  <si>
    <t>Total</t>
  </si>
  <si>
    <t>*Dosificación de concreto 21 MPa</t>
  </si>
  <si>
    <t>Refuerzo</t>
  </si>
  <si>
    <t>Diametro</t>
  </si>
  <si>
    <t>Peso</t>
  </si>
  <si>
    <t>Malla electrosoldada 150 * 150 *5 mm</t>
  </si>
  <si>
    <t>Area</t>
  </si>
  <si>
    <t xml:space="preserve">total agregados </t>
  </si>
  <si>
    <t xml:space="preserve">Estructura de soporte </t>
  </si>
  <si>
    <t>L (m)=</t>
  </si>
  <si>
    <t>Ángulo galvanizado 2” X 2” X 1/4” 
ASTM A572, Gr. 50</t>
  </si>
  <si>
    <t>Ángulo galvanizado 1 ½” X 1 ½” X 1/8” 
ASTM A572, Gr. 50</t>
  </si>
  <si>
    <t>Ángulo galvanizado 2 ½” X 2 ½” X 3/16”
ASTM A572, Gr. 50</t>
  </si>
  <si>
    <t>Ángulo galvanizado 2 ½” X 2 ½” X 3/16”
ASTM A572, Gr. 51</t>
  </si>
  <si>
    <t>Platina galvanizada 200x50, e=1/4"
ASTM A36, Fy=250 MPa</t>
  </si>
  <si>
    <t>Platina galvanizada 300x300, e=9,53mm
ASTM A36, Fy=250 MPa</t>
  </si>
  <si>
    <t>Pernos Galvanizados ASTM A325 de 3/8" , L 8"</t>
  </si>
  <si>
    <t>Pernos Galvanizados ASTM A325 de ½” x 1 ½”</t>
  </si>
  <si>
    <t>OBRAS CIVILES CENTRALIZADO DE 5KW</t>
  </si>
  <si>
    <t>Localización y replanteo civil</t>
  </si>
  <si>
    <t>Elementos</t>
  </si>
  <si>
    <r>
      <t>Area (m</t>
    </r>
    <r>
      <rPr>
        <i/>
        <vertAlign val="superscript"/>
        <sz val="10"/>
        <rFont val="Arial"/>
        <family val="2"/>
      </rPr>
      <t>2</t>
    </r>
    <r>
      <rPr>
        <i/>
        <sz val="10"/>
        <rFont val="Arial"/>
        <family val="2"/>
      </rPr>
      <t>)=</t>
    </r>
  </si>
  <si>
    <t>Cuarto de control y respel</t>
  </si>
  <si>
    <t>Cerramiento</t>
  </si>
  <si>
    <t>estructura fotovoltaica</t>
  </si>
  <si>
    <t>Desmonte y limpieza del terreno (Incluye retiro de material sobrante)</t>
  </si>
  <si>
    <t>Excavación manual (incluye retiro)</t>
  </si>
  <si>
    <t>vigas ciclopeo</t>
  </si>
  <si>
    <t xml:space="preserve">vigas Cimentacion </t>
  </si>
  <si>
    <t>material granular</t>
  </si>
  <si>
    <t>Vigas cerramiento</t>
  </si>
  <si>
    <t>bases cilindricas para fotovoltaico</t>
  </si>
  <si>
    <t>CONCRETO CICLOPEO</t>
  </si>
  <si>
    <t xml:space="preserve">Vigas horizontales </t>
  </si>
  <si>
    <t>Vigas trasversales</t>
  </si>
  <si>
    <t>concreto</t>
  </si>
  <si>
    <t>piedra rajon</t>
  </si>
  <si>
    <t>*Dosificación de concreto 17 MPa</t>
  </si>
  <si>
    <t>CONCRETO 21 Mpa VIGAS</t>
  </si>
  <si>
    <t xml:space="preserve">RELLENO </t>
  </si>
  <si>
    <t>Cuarto de control</t>
  </si>
  <si>
    <t>cerramiento</t>
  </si>
  <si>
    <t>CONCRETO 21 Mpa PLACA</t>
  </si>
  <si>
    <t>placa</t>
  </si>
  <si>
    <t>CONCRETO 21 Mpa pilas de cimentacion</t>
  </si>
  <si>
    <t>ACERO DE REFUERZO</t>
  </si>
  <si>
    <t>Varilla</t>
  </si>
  <si>
    <t>Peso kg/m</t>
  </si>
  <si>
    <t>Long</t>
  </si>
  <si>
    <t>Peso (Kg)</t>
  </si>
  <si>
    <t>Vigas VC-1 - logitudinal superior</t>
  </si>
  <si>
    <t>Vigas VC-1 - logitudinal inferior</t>
  </si>
  <si>
    <t>Vigas VC-1 - transversal</t>
  </si>
  <si>
    <t>Vigas VC-2 - logitudinal superior</t>
  </si>
  <si>
    <t>Vigas VC-2 - logitudinal inferior</t>
  </si>
  <si>
    <t>Vigas VC-2 - transversal</t>
  </si>
  <si>
    <t>Placa superior longitudinal</t>
  </si>
  <si>
    <t>Placa superior transversal</t>
  </si>
  <si>
    <t>Placa inferior longitudinal</t>
  </si>
  <si>
    <t>Placa inferior transversal</t>
  </si>
  <si>
    <t>viga de cimentacion cerramiento long</t>
  </si>
  <si>
    <t>viga de cimentacion cerramiento Trans</t>
  </si>
  <si>
    <t>Envovente</t>
  </si>
  <si>
    <t>Estructura en acero</t>
  </si>
  <si>
    <t>Estructura en acero de soporte muro de equipos</t>
  </si>
  <si>
    <t>W (Kg/m)=</t>
  </si>
  <si>
    <t>Peso (Kg)=</t>
  </si>
  <si>
    <t>Tubo Cuadrado Acero ASTM A500 gr C 50x50x3 m</t>
  </si>
  <si>
    <t>Platina galvanizada 200x200, e=4mm
ASTM A36, Fy=250 MPa</t>
  </si>
  <si>
    <t>Estructura en acero de soporte paneles</t>
  </si>
  <si>
    <t>Perfil PHR tipo C 100x50x3mm galvanizado - columna larga</t>
  </si>
  <si>
    <t>Perfil PHR tipo C 100x50x3mm galvanizado - columna corta</t>
  </si>
  <si>
    <t>Perfil PHR tipo C 100x50x2mm galvanizado - apoyo diagonal</t>
  </si>
  <si>
    <t>Perfil PHR tipo C 120x60x2.5mm galvanizado - viga</t>
  </si>
  <si>
    <t>Perfil PHR tipo C 100x50x2mm galvanizado - correas apoyo paneles</t>
  </si>
  <si>
    <t xml:space="preserve">Perfil PHR tipo C 100x50x2mm galvanizado - Union correas </t>
  </si>
  <si>
    <t>Platina galvanizada union viga y apoyo 200x200, e=4mm ASTM A36, Fy=250 MPa</t>
  </si>
  <si>
    <t>Lamina microperforada calibre 18</t>
  </si>
  <si>
    <t>Area (m2)=</t>
  </si>
  <si>
    <t>muro de equipos</t>
  </si>
  <si>
    <t>ITEM</t>
  </si>
  <si>
    <t>DESCRIPCION</t>
  </si>
  <si>
    <t>CANTIDAD</t>
  </si>
  <si>
    <t>VALOR UNITARIO</t>
  </si>
  <si>
    <t>VALOR PARCIAL</t>
  </si>
  <si>
    <t>EQ. &amp; HERRAM.</t>
  </si>
  <si>
    <t>TRANSPORTE</t>
  </si>
  <si>
    <t>MOC</t>
  </si>
  <si>
    <t>MONC</t>
  </si>
  <si>
    <t>VR. UNITARIO</t>
  </si>
  <si>
    <t>VR. PARCIAL</t>
  </si>
  <si>
    <t>Replanteo de obra</t>
  </si>
  <si>
    <t>1.1</t>
  </si>
  <si>
    <t>Realizar Replanteo de obra</t>
  </si>
  <si>
    <t>Implementación y puesta en funcionamiento de sistema individual solar fotovoltaico</t>
  </si>
  <si>
    <t>2.1</t>
  </si>
  <si>
    <t>Implementar y poner en funcionamiento equipos para la operación fotovoltaica</t>
  </si>
  <si>
    <t>2.2</t>
  </si>
  <si>
    <t>Estructura de soporte para paneles solares</t>
  </si>
  <si>
    <t>2.3</t>
  </si>
  <si>
    <t>Implementar Sistema de medición y gestión de energía</t>
  </si>
  <si>
    <t>2.4</t>
  </si>
  <si>
    <t>Instalaciones Internas usuarios del sistema individual solar fotovoltaico</t>
  </si>
  <si>
    <t>Implementar SSVF microred 5 kw</t>
  </si>
  <si>
    <t>3.1</t>
  </si>
  <si>
    <t>Sistema de generación de 18090Wp</t>
  </si>
  <si>
    <t>3.2</t>
  </si>
  <si>
    <t>Obras civiles para estructura de 27 paneles solares y cuarto de equipos y almacenamiento RESPEL</t>
  </si>
  <si>
    <t>3.3</t>
  </si>
  <si>
    <t>Sistema de control, medición y monitoreo</t>
  </si>
  <si>
    <t>3.4</t>
  </si>
  <si>
    <t>Acometida y SPT domiciliario</t>
  </si>
  <si>
    <t>3.5</t>
  </si>
  <si>
    <t>Instalaciones Internas usuarios de Usuario de sistema centralizados solar fotovoltaico</t>
  </si>
  <si>
    <t>4.1</t>
  </si>
  <si>
    <t>Apertura de hueco para poste o templete en B.T</t>
  </si>
  <si>
    <t>4.2</t>
  </si>
  <si>
    <t>Suministro, instalación y transporte de poste en Fibra de de vidrío de 8m 510kgf</t>
  </si>
  <si>
    <t>4.3</t>
  </si>
  <si>
    <t>Suministro, instalación y transporte de estructura para red trenzada LA320</t>
  </si>
  <si>
    <t>4.4</t>
  </si>
  <si>
    <t>Suministro, instalación y transporte de estructura para red trenzada LA321</t>
  </si>
  <si>
    <t>4.5</t>
  </si>
  <si>
    <t>Suministro, instalación y transporte de estructura para red trenzada LA324</t>
  </si>
  <si>
    <t>4.6</t>
  </si>
  <si>
    <t>Suministro, instalación y transporte de Caja para 4 acometidas en policarbonato trifásica</t>
  </si>
  <si>
    <t>4.7</t>
  </si>
  <si>
    <t>Suministro, instalación y transporte de estructura para red trenzada LA322</t>
  </si>
  <si>
    <t>4.8</t>
  </si>
  <si>
    <t>Suministro,transporte y tendida y tensionada red trenzada aluminio, XLPE 2x35mm2 + 1x35mm2 / 2x2AWG+ 1x2AWG</t>
  </si>
  <si>
    <t>ML</t>
  </si>
  <si>
    <t>4.9</t>
  </si>
  <si>
    <t>Sistema de puesta a tierra cuadrada para baja tensión Norma IPSE NC 740 Y 741</t>
  </si>
  <si>
    <t>4.10</t>
  </si>
  <si>
    <t>Cable de Acometida antifraude XL/PVC 600 V 90° Nº 2x6+6 AWG Aluminio</t>
  </si>
  <si>
    <t>4.11</t>
  </si>
  <si>
    <t>Retenida Terminal o en ángulos poste a varilla de anclaje Norma IPSE NC - 752</t>
  </si>
  <si>
    <t>Implementar Sistema De Monitoreo Y Control Central - Nano o Microred</t>
  </si>
  <si>
    <t>Suministro e instalación de sistema de monitoreo y gestion energia equipos Nano o Microrred</t>
  </si>
  <si>
    <t>TOTAL COSTOS DIRECTOS</t>
  </si>
  <si>
    <t>ADMINISTRACIÓN</t>
  </si>
  <si>
    <t>IMPREVISTOS</t>
  </si>
  <si>
    <t>UTILIDAD</t>
  </si>
  <si>
    <t>IVA DE UTILIDAD</t>
  </si>
  <si>
    <t>TOTAL COSTOS INDIRECTOS (AIU)</t>
  </si>
  <si>
    <t>VALOR CONSTRUCCIÓN (COSTOS DIRECTOS +  COSTOS INDIRECTOS)</t>
  </si>
  <si>
    <t>REALIZAR INTERVENTORÍA INTEGRAL (% CON RESPECTO A LOS COSTOS DIRECTOS + COSTOS INDIRECTOS)</t>
  </si>
  <si>
    <t>REALIZAR RETIE(% CON RESPECTO A LOS CD ELÉCTRICOS DE NANO Y MICRO REDES)</t>
  </si>
  <si>
    <t>REALIZAR GESTION SOCIAL (% CON RESPECTO A LOS COSTOS DIRECTOS)</t>
  </si>
  <si>
    <t>IMPLEMENTAR PLAN DE MANEJO AMBIENTAL (% CON RESPECTO A LOS COSTOS DIRECTOS)</t>
  </si>
  <si>
    <t>COSTO TOTAL PROYECTO SIN ADMINISTRACIÓN DELEGADA</t>
  </si>
  <si>
    <t>REALIZAR ADMINISTRACIÓN DELEGADA DEL PROYECTO</t>
  </si>
  <si>
    <t>COSTO TOTAL PROYECTO</t>
  </si>
  <si>
    <t>No. USUARIOS I.E.</t>
  </si>
  <si>
    <t>VALOR COSTO / USUARIO</t>
  </si>
  <si>
    <t>individuales</t>
  </si>
  <si>
    <t>distribuidos</t>
  </si>
  <si>
    <t>IMPLEMENTACIÓN DE SOLUCIONES ENERGÉTICAS SOSTENIBLES CON FUENTES NO CONVENCIONALES, PARA LAS COMUNIDADES RURALES DEL MUNICIPIO DE PLATO, DEPARTAMENTO MAGDALENA.</t>
  </si>
  <si>
    <t>Sistema de generación de 18760Wp</t>
  </si>
  <si>
    <t>Obras civiles para estructura de 28 paneles solares y cuarto de equipos y almacenamiento RESPEL</t>
  </si>
  <si>
    <t>2.1.1</t>
  </si>
  <si>
    <t>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t>
  </si>
  <si>
    <t>2.1.2</t>
  </si>
  <si>
    <t>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6 AWG THHN y accesorios de conexión.</t>
  </si>
  <si>
    <t>2.1.3</t>
  </si>
  <si>
    <t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t>
  </si>
  <si>
    <t>2.1.4</t>
  </si>
  <si>
    <t>Suministro e instalación de regulador (controlador) de carga, 50A/48V MPPT Solar, eficiencia mínima del 96%, debe ser apto para cargar baterías tipo LiFePO4. Con todas las protecciones eléctricas necesarias en caso de sobrecarga, cortocircuito, advertencia de alto voltaje</t>
  </si>
  <si>
    <t>2.1.5</t>
  </si>
  <si>
    <t xml:space="preserve">Suministro e Instalación de batería de ión - litio tipo fosfato de hierro (LiFePO4) de ciclo profundo de 120 Ah – 51.2 VDC - ≥6000 ciclos hasta el 80% DOD, con BMS integrado </t>
  </si>
  <si>
    <t>2.1.6</t>
  </si>
  <si>
    <t>Suministro e instalación de inversor tipo "off-grid" onda senoidal pura, potencia de 2000 W, 48 VDC entrada - 120 VAC salida, f=60 Hz, debe garantizar protección y desconexión por bajo voltaje en la batería, protección contra sobrecarga</t>
  </si>
  <si>
    <t>2.1.7</t>
  </si>
  <si>
    <t>Sistema de puesta a tierra con una varilla de cobre 5/8" x 2,4m, bajante en cable de cobre desnudo temple duro o verde Nº 6, con soldadura exotérmica y tratamiento de suelos, caja de inspección de 30 x 30 cm.</t>
  </si>
  <si>
    <t>2.2.1</t>
  </si>
  <si>
    <t>Suministro e instalación de poste reforzado en fibra de vidrio de h=4m, 510kgf. contiene: tapa en la cima y base, soporte metálico galvanizado fijo para 3 paneles solares y cimentación en cocreto reforzado de 3000 PSI (incluye excavación).</t>
  </si>
  <si>
    <t>2.2.2</t>
  </si>
  <si>
    <t>Excavación de zanja para acometida principal en zona verde, de 20 cm de ancho x 60 cm de profundidad y hasta 6 m de longitud. Se utilizará para relleno, el mismo material excavado.</t>
  </si>
  <si>
    <t>2.3.1</t>
  </si>
  <si>
    <t>Suministro e instalación de Medidor prepago monofásico bifilar 5 (80) A, 120 V, calibrado. Incluye sistema de  gestión de recaudo y equipos de comunicación standalone.</t>
  </si>
  <si>
    <t>2.4.1</t>
  </si>
  <si>
    <t>Instalaciones Internas que incluyan 4 salidas de alumbrado y 4 tomacorrientes. Se considera implementación de hasta 20 metros de tubería EMT de 3/4" y hasta 80 mts de cable de cobre aislado THHN No. 12 AWG</t>
  </si>
  <si>
    <t>3.1.1</t>
  </si>
  <si>
    <t>Suministro, transporte e instalación de Panel Solar de 670 W Mono PERC (1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t>
  </si>
  <si>
    <t>3.1.2</t>
  </si>
  <si>
    <t>Suministro, Transporte e instalacion de acometida solar eléctrica para 4 lazos Fotovoltaicos subterránea desde los módulos solares hasta el gabinete de diseño especial. Incluye: Hasta 32 m de tubería PVC de 3/4" subterránea, hasta 18,8 m de tubería IMC de 3/4" a la vista, hasta 18 m de tubería pvc sch 40 de 1/2" para tierra, incluye todos los accesorrios de las diferentes tipo de tuberia y hasta 67,2 m de cable 10 AWG Cu XLPE, 33,6 m de cable able 10 AWG Cu XLPE Verde y accesorios de conexión.</t>
  </si>
  <si>
    <t>3.1.3</t>
  </si>
  <si>
    <t>Suministro, transporte e instalación de caja combinadora FV. Incluye gabinete eléctrico con cumplimiento RETIE y tapa traslucida, de dimensiones 820x620x300 mm; protecciones, barrajes y DPS Tipo 1+2.</t>
  </si>
  <si>
    <t>3.1.4</t>
  </si>
  <si>
    <t>Suministro, transporte e instalación de controlador MPPT RS 450/200A, tensiones de trabajo a 48V, con bluetooth y VE.CAN incorporado para configuración y monitorización de historico, eficiencia de conversión 96%, función de trabajo en paralelo. Incluye cableado de entrada en calibre 4 AWG, cableado de salida en THHN 250 MCM y cableado de comnunicaciones VE.CAN</t>
  </si>
  <si>
    <t>3.1.5</t>
  </si>
  <si>
    <t xml:space="preserve">Suministro, transporte e instalación de tablero principal en DC con cumplimiento RETIE, dimensiones 820x620x300, incluye barrajes de 340 A, protecciones de 200, 100 y 400 A 500VDC y cableado hacia arreglos de baterías e inversores. </t>
  </si>
  <si>
    <t>3.1.6</t>
  </si>
  <si>
    <t>Suministro, transporte e instalación de banco de baterías de 36,864 kWh a 51,2 V. Incluye rack de baterías, cables de interconexión y conexión al sistema de moniteoreo mediante protocolo CAN-BUS. las baterías de ion - litio tipo fosfato de hierro (LiFePO4) de ciclo profundo de 120 Ah - 51,2 VDC -  6.000 ciclos hasta el 80% DOD, libre de mantenimiento. Con BMS, puertos de comunicaciones,  vida útil mín de 15 años y 10 años de garantia.</t>
  </si>
  <si>
    <t>3.1.7</t>
  </si>
  <si>
    <t>Suministro e instalación de inversor de onda pura de 5000 VA 120V, FP 0.8, eficiencia del 94% y función de trabajo en paralelo. Incluye cable de entrada en 6 AWG</t>
  </si>
  <si>
    <t>3.1.8</t>
  </si>
  <si>
    <t>Suministro, transporte e instalación de lonchera eléctrica en AC con cumplimiento retie para interruptor termomagnético monopolar de 50 A. Incluye interruptor termomagnético.</t>
  </si>
  <si>
    <t>3.1.9</t>
  </si>
  <si>
    <t>Suministro, transporte e instalación de autotransformador trifásico 5 kVA, eficiencia 96%, Envolvente IP40, conexión Y/Y 120/240 V</t>
  </si>
  <si>
    <t>3.1.10</t>
  </si>
  <si>
    <t>Suministro, transporte e instalación de tablero de distribución en AC, para 6 circuitos. Incluye barrajes de 70 A, DPS tipo 1+2, protección de entrada de 25 A 120 VAC y protecciones de circuitos de 20 A.</t>
  </si>
  <si>
    <t>3.1.11</t>
  </si>
  <si>
    <t>Instalaciones Internas caseta de equipos incluyen 2 salidas de alumbrado y 2 tomacorrientes, dos luminaria hermetica tubular IP66, Se considera implementación de hasta 20 metros de tubería EMT de 1/2" y hasta 60 mts de cable de cobre aislado THHN No. 12 AWG</t>
  </si>
  <si>
    <t>GB</t>
  </si>
  <si>
    <t>3.1.12</t>
  </si>
  <si>
    <t>Suministro, transporte e instalacion de extintor de CO2, DIOXIDO DE CARBONO - 10 LBS. Incluye soporte</t>
  </si>
  <si>
    <t>3.1.13</t>
  </si>
  <si>
    <t>Suministro, transporte e instalación de sistema puesta a tierra con 4 varillas de cobre 5/8" x 2,4m bajante en cable de cobre desnudo calibre 2/0 AWG con soldadura exotérmica. Incluye barraje de puesta a tierra principal, suelo mejorado, cableado de equipotenciaciación de equipos y estructuras, bajante y electrodos</t>
  </si>
  <si>
    <t>3.1.14</t>
  </si>
  <si>
    <t>Suministro, transporte e instalación de Canalizacion salida red de distribucion incluye 10 m de tuberia IMC de 3 hasta poste, e incluye accesorios, capacete, cinta Bandit , y excavacion de Zanja.</t>
  </si>
  <si>
    <t>3.2.1</t>
  </si>
  <si>
    <t>m2</t>
  </si>
  <si>
    <t>3.2.2</t>
  </si>
  <si>
    <t>3.2.3</t>
  </si>
  <si>
    <t>m3</t>
  </si>
  <si>
    <t>3.2.4</t>
  </si>
  <si>
    <t xml:space="preserve">Relleno en sub base granular  SBG-3 (norma invias 320) compactado al 95% del PM </t>
  </si>
  <si>
    <t>3.2.5</t>
  </si>
  <si>
    <t>Concreto ciclópeo (60% concreto f'c=17 MPa , 40% piedra rajón) para apoyo de la cimentación del cuarto de equipos y almacenamiento RESPEL</t>
  </si>
  <si>
    <t>3.2.6</t>
  </si>
  <si>
    <t>Concreto simple impermeabilizado f'c=21MPa - Mezcla in situ  para cimentaciones y placa del cuarto de equipos y almacenamiento RESPEL y de la estructura para soporte de paneles.</t>
  </si>
  <si>
    <t>3.2.7</t>
  </si>
  <si>
    <t>Acero de refuerzo fy=420 MPa  para cimentaciones y placa</t>
  </si>
  <si>
    <t>kg</t>
  </si>
  <si>
    <t>3.2.8</t>
  </si>
  <si>
    <t>Suministro, transporte e instalación de envolvente para cuarto de equipos y cuarto de almacenamiento RESPEL (B=3,52 m, L=5,97 m, H=2.3-2.5 m) en estructura interlocking de WPC o similar. Incluye: puertas de acceso en aluminio anodizado, cubierta en teja termo acústica tipo sándwich Blanca por ambas caras. Calibre 28 con caballetes, goteros y rejillas de ventilación en aluminio, según diseño.</t>
  </si>
  <si>
    <t>3.2.9</t>
  </si>
  <si>
    <t>Suministro, transporte e instalación de estructura en acero (ASTM A500 Gr.C y ASTM A653 Gr. 50)  galvanizado, para soporte de paneles y pared de equipos según diseño. Incluye cortes, perforaciones, conexiones,  elementos de sujeción de paneles con aislante de neopreno y pintura anticorrosiva.</t>
  </si>
  <si>
    <t>3.2.10</t>
  </si>
  <si>
    <t xml:space="preserve">Suministro, transporte e instalación de canales y bajantes en PVC incluye tapas, uniones, bajantes y soportes  y demas elementos para su debida instalacion, </t>
  </si>
  <si>
    <t>GL</t>
  </si>
  <si>
    <t>3.2.11</t>
  </si>
  <si>
    <t xml:space="preserve">Suministro, transporte e instalación de lámina microperforada calibre 18 para muro de equipos, fabricada en acero de alta resistencia con perforaciones uniformes y acabado en pintura electrostática. Las láminas deberán tener los bordes rematados y pintados, sin filos cortantes, garantizando seguridad en el manejo e instalación. Se incluye toda la tornillería y accesorios necesarios para su correcta fijación. Dimensiones de cada panel: 1,00 m x 0,75 m. </t>
  </si>
  <si>
    <t>UND</t>
  </si>
  <si>
    <t>3.2.12</t>
  </si>
  <si>
    <t>Construcción de cerramiento en malla eslabonada. Incluye pisamalla en platina 3/8” x 1/8”, Postes en tubería galvanizada de 2" cada 2.5 mts aproximadamente o menos en los puntos donde se requiera (longitud tubo 3.,00 m repartidos así: 40 cm alambre púas, 2,07 m para malla, 53 cm para empotrar); malla eslabonada calibre 10 ojo 2-1/4" x 2-1/4", enmarcada en Angulo de 1-1/2” x1-1/2” x 3/16” soldar a los tubos, pieamigos en las secciones esquineras, tapón metálico para tubo, alambre de púa cal 14, incluye también acarreo interno y transporte de materiales. La excavación, la fundación y el refuerzo se pagarán en los ítems respectivos. También incluye ángulo para amarre de malla eslabonada por los desniveles del terreno, Ponton y tensores en alembre.</t>
  </si>
  <si>
    <t>3.3.1</t>
  </si>
  <si>
    <t>Suministro e instalación de medidor AMI prepago monofásico bifilar 5 (80) A, 120 V , calibrado. Incluye sistema de  gestión de recaudo y equipos de comunicación online.</t>
  </si>
  <si>
    <t>3.4.1</t>
  </si>
  <si>
    <t>Suministro, transporte e instalación de acometida domiciliaria subterranea desde caja de conexiones hasta medidor domiciliario, en cable de aluminio antifraude 2x No 6 AWG y tubería PVC 3/4"</t>
  </si>
  <si>
    <t>3.4.2</t>
  </si>
  <si>
    <t>Sistema de puesta a tierra para usuario sistema fotovoltaico centralizado con una varilla de cobre 5/8" x 2,4m, bajante en cable de cobre desnudo Nº 6, con soldadura exotérmica y tratamiento de suelos, caja de inspección de 30 x 30 cm.</t>
  </si>
  <si>
    <t>3.5.1</t>
  </si>
  <si>
    <t>Instalaciones Internas que incluyan 4 salidas de alumbrado y 5 tomacorrientes. Se considera implementación de hasta 27 metros de tubería EMT de 1/2" y hasta 80 mts de cable de cobre aislado THHN No. 12 AWG</t>
  </si>
  <si>
    <t xml:space="preserve">ITEM: </t>
  </si>
  <si>
    <t>UNIDAD:</t>
  </si>
  <si>
    <t xml:space="preserve">  I.  MATERIALES</t>
  </si>
  <si>
    <t>SUBTOTAL:</t>
  </si>
  <si>
    <t xml:space="preserve"> II.  EQUIPO Y HERRAMIENTA</t>
  </si>
  <si>
    <t>Tarifa/día</t>
  </si>
  <si>
    <t>III.  TRANSPORTE</t>
  </si>
  <si>
    <t>No. Personas</t>
  </si>
  <si>
    <t>Tarifa / Persona</t>
  </si>
  <si>
    <t>Alquiler motocicleta con conductor, valor diario</t>
  </si>
  <si>
    <t xml:space="preserve">IV.  MANO DE OBRA </t>
  </si>
  <si>
    <t>Jornal</t>
  </si>
  <si>
    <t>Fac. Pres.</t>
  </si>
  <si>
    <t xml:space="preserve">TOTAL COSTO DIRECTO: </t>
  </si>
  <si>
    <t>Tipo</t>
  </si>
  <si>
    <t>Tarifa / Kg</t>
  </si>
  <si>
    <t>KG</t>
  </si>
  <si>
    <t>Concreto (21 Mpa)</t>
  </si>
  <si>
    <t>Desperdicio 5%</t>
  </si>
  <si>
    <t>Acero de refuerzo estructural</t>
  </si>
  <si>
    <t>Desperdicio 15%</t>
  </si>
  <si>
    <t>lazos fotovoltaicos</t>
  </si>
  <si>
    <t>tierra estructura</t>
  </si>
  <si>
    <t>Panel para Revestimiento Exterior en WPC Nastro 10 X 290 X 5 cm Paneles WPC</t>
  </si>
  <si>
    <t>Teja Panel tipo sandwinch de láminas galvanizadas interior y exterior calibre 28, nucleo en poliubretano expandido de densidad 38kg/m3, e= 3,0 cm</t>
  </si>
  <si>
    <t>carpinteria aluminio</t>
  </si>
  <si>
    <t>Tornillos fijacion de teja 2"</t>
  </si>
  <si>
    <t>tornillo Lámina. Cab. Lenteja. Pta Broca 8X1</t>
  </si>
  <si>
    <t>fachada 1</t>
  </si>
  <si>
    <t>area cuarto</t>
  </si>
  <si>
    <t>fachada 2</t>
  </si>
  <si>
    <t>fachada 3</t>
  </si>
  <si>
    <t>muro int</t>
  </si>
  <si>
    <t>fachada 4</t>
  </si>
  <si>
    <t>puerta 1</t>
  </si>
  <si>
    <t>puerta 2</t>
  </si>
  <si>
    <t>ventana 1</t>
  </si>
  <si>
    <t>ventana 2</t>
  </si>
  <si>
    <t>ventana 3</t>
  </si>
  <si>
    <t>ventana 4</t>
  </si>
  <si>
    <t>total</t>
  </si>
  <si>
    <t xml:space="preserve">area elemento: </t>
  </si>
  <si>
    <t># elemetos</t>
  </si>
  <si>
    <t># elementos /m2</t>
  </si>
  <si>
    <t xml:space="preserve">Perfil HSS  ASTM A572 Gr.50 0.70x0.70x0.02 </t>
  </si>
  <si>
    <t>peso/m</t>
  </si>
  <si>
    <t>cubierta</t>
  </si>
  <si>
    <t>peso total</t>
  </si>
  <si>
    <t>peso por m2</t>
  </si>
  <si>
    <t xml:space="preserve">Perfil U 2" </t>
  </si>
  <si>
    <t xml:space="preserve">platinas </t>
  </si>
  <si>
    <t>carpinteria de aluminio</t>
  </si>
  <si>
    <t>total por metro cuadrado</t>
  </si>
  <si>
    <t>volumen hoyo</t>
  </si>
  <si>
    <t xml:space="preserve">poste </t>
  </si>
  <si>
    <t>volumen concreto =</t>
  </si>
  <si>
    <t>Lista de precios Materiales Estudio de mercados IPSE</t>
  </si>
  <si>
    <t>Codigo</t>
  </si>
  <si>
    <t>CATEGORÍA</t>
  </si>
  <si>
    <t>Material</t>
  </si>
  <si>
    <t>Peso Kg</t>
  </si>
  <si>
    <t>Valor Unitario</t>
  </si>
  <si>
    <t>PRECIO BASE</t>
  </si>
  <si>
    <t>AJUSTE POSITIVO</t>
  </si>
  <si>
    <t>Equipo principal</t>
  </si>
  <si>
    <t>Módulo solar fotovoltaico monocristalino tipo PERC "Half Cell" TIER 1 de 545 Wp</t>
  </si>
  <si>
    <t>Cableado y accesorios</t>
  </si>
  <si>
    <t>Cable Cu solar XLPE 4mm 1kV 120 °C</t>
  </si>
  <si>
    <t>Conector MC4 (Macho o Hembra)</t>
  </si>
  <si>
    <t>Cable Cu solar XLPE 6 AWG 1kV 120 °C</t>
  </si>
  <si>
    <t>Canalizaciones y accesorios</t>
  </si>
  <si>
    <t>Coraza flexible Liquid Tight 1 1/4"</t>
  </si>
  <si>
    <t>Terminal IMC 1/ 1/4"</t>
  </si>
  <si>
    <t>Abrazadera metálica doble ala 1 1/4"</t>
  </si>
  <si>
    <t>Tableros y gabinetes</t>
  </si>
  <si>
    <t>Gabinete eléctrico con tapa traslucida, doble fondo y cumplimiento RETIE, dimensiones 630x530x180 mm</t>
  </si>
  <si>
    <t>Barrajes</t>
  </si>
  <si>
    <t>Barraje de cobre tropicalizado de 210 A para 16 conexiones</t>
  </si>
  <si>
    <t>Accesorios Eléctricos</t>
  </si>
  <si>
    <t>Riel DIN 35 mm x 7.5 mm</t>
  </si>
  <si>
    <t>Protecciones</t>
  </si>
  <si>
    <t xml:space="preserve">Interruptor termomagnético 50A 2P 500 VDC 6 Ka </t>
  </si>
  <si>
    <t xml:space="preserve">Interruptor termomagnético 250A 2P 500 VDC 20 Ka </t>
  </si>
  <si>
    <t>DPS</t>
  </si>
  <si>
    <t>DPS Tipo 2 500 Uc Up 2,5 kV 18-40 kA</t>
  </si>
  <si>
    <t>Cable de Aluminio Serie  8000 THHN. 2/0 AWG</t>
  </si>
  <si>
    <t>Controlador MPPT RS 450/200A, tensiones de trabajo a 24V-48V, con conexión bluetoot y VE.CAN para configuración y monitorización de historico, eficiencia de conversión 99%, función de trabajo en paralelo</t>
  </si>
  <si>
    <t>Cable de Aluminio Serie  8000 THHN. 8 AWG</t>
  </si>
  <si>
    <t>Cable de Aluminio Serie  8000 THHN. 1/0 AWG</t>
  </si>
  <si>
    <t>Gabinete eléctrico metálico con revestimiento eléctrostatico de dimensiones 820x620x300 IP66 Doble fondo.</t>
  </si>
  <si>
    <t>Barraje de cobre tropicalizado de 650 A para 16 conexiones</t>
  </si>
  <si>
    <t xml:space="preserve">Interruptor termomagnético 100A 2P 500 VDC 6 Ka </t>
  </si>
  <si>
    <t>Cable de Aluminio Serie  8000 THHN. 3/0 AWG</t>
  </si>
  <si>
    <t xml:space="preserve">Interruptor termomagnético 140A 2P 500 VDC 6 Ka </t>
  </si>
  <si>
    <t xml:space="preserve">Interruptor termomagnético 200A 2P 500 VDC 6 Ka </t>
  </si>
  <si>
    <t>Borna para ponchar varios calibres y terminales</t>
  </si>
  <si>
    <t>Tubo termoencogible. Distintos calibres, distintos colores</t>
  </si>
  <si>
    <t>Batería de LiFePO4 6.1 kWh - 48V - 120 Ah,6000 ciclos con DOD 80%, incluido BMS</t>
  </si>
  <si>
    <t>Gabinete de Piso 40U (Ancho: 710 mm • Fondo: 990 mm)</t>
  </si>
  <si>
    <t xml:space="preserve">Cable Cu TWK 10 AWG </t>
  </si>
  <si>
    <t>Terminales para batería. Par</t>
  </si>
  <si>
    <t>JG</t>
  </si>
  <si>
    <t>Inversor 5kVA, voltaje de salida 230V/120V, con dos entradas CA y dos salidas CA, certificacion IEC 60335-1, IEC 60335-2 y IEC 62109-1</t>
  </si>
  <si>
    <t>Gabinete eléctrico metálico con cumplimiento RETIE, con revestimiento eléctrostatico de dimensiones 420x320x200 IP66 Doble fondo.</t>
  </si>
  <si>
    <t>Barraje de cobre tropicalizado de 110 A para 16 conexiones</t>
  </si>
  <si>
    <t>Interruptor termomagnético 30 A 1P 120/240 VAC 10kA</t>
  </si>
  <si>
    <t>Interruptor termomagnético 100 A 1P 120/240 VAC 10kA</t>
  </si>
  <si>
    <t xml:space="preserve">Autotransformador tipo split 120/230AC, 100A </t>
  </si>
  <si>
    <t>Gabinete eléctrico metálico con cumplimiento RETIE, con revestimiento eléctrostatico de dimensiones 250x700x100 IP66 Doble fondo.</t>
  </si>
  <si>
    <t>Barraje de cobre tropicalizado de 250 A para 16 conexiones</t>
  </si>
  <si>
    <t>SPT</t>
  </si>
  <si>
    <t>Kit de barra de cobre para puesta tierra de 8 conectores con área transversal no menor a 21,14 mm2. Incluye aisladores y accesorios de sujeción</t>
  </si>
  <si>
    <t>Cable Cu THHN 16 AWG</t>
  </si>
  <si>
    <t>Interruptor termomagnético 200 A 2P 120/240 VAC 10kA</t>
  </si>
  <si>
    <t>Interruptor termomagnético 130 A 2P 120/240 VAC 10kA</t>
  </si>
  <si>
    <t>Interruptor termomagnético 16 A 1P 120/240 VAC 10kA</t>
  </si>
  <si>
    <t>Canaleta conduit de 60x300 mm</t>
  </si>
  <si>
    <t>Tuberia conduit PVC SCH 40 1/2"</t>
  </si>
  <si>
    <t>Tuberia conduit PVC 2 1/2"</t>
  </si>
  <si>
    <t>Uniones, curvas y terminales PVC. Varios calibres</t>
  </si>
  <si>
    <t>Accesorios para fijación de canaleta (tornillería, pegante, chazos, etc)</t>
  </si>
  <si>
    <t>Conector recto coraza Liquid Tight 1 1/4"</t>
  </si>
  <si>
    <t>Union rápida para curvas canaleta conduit. Difertentes medidas</t>
  </si>
  <si>
    <t>Union con tornillo para canaleta (tipo perro)</t>
  </si>
  <si>
    <t>Union rápida para canaleta EDRN</t>
  </si>
  <si>
    <t>Desconectador de baterías 600 A</t>
  </si>
  <si>
    <t>Monitoreo y control</t>
  </si>
  <si>
    <t>Equipo de monitorización compatible con inversor, controlador y batería, WiFi y/o Ethernet y bluetooth, con firmaware gratuito y plataforma abierta</t>
  </si>
  <si>
    <t>Modem satelital</t>
  </si>
  <si>
    <t>Cable UTP Cat5E</t>
  </si>
  <si>
    <t>Cable UTP Cat6</t>
  </si>
  <si>
    <t>Conector RJ45</t>
  </si>
  <si>
    <t>Conector Patchcore RJ45 hembra</t>
  </si>
  <si>
    <t>Coraza flexible Liquid Tight 1/2"</t>
  </si>
  <si>
    <t>Conector recto coraza Liquid Tight 1/2"</t>
  </si>
  <si>
    <t>Caja de protección para albergue de equipos de monitoreo, con tapa frontal adecuada para instalación de pantalla de monitoreo</t>
  </si>
  <si>
    <t>Cable VE.Direct / VE.Can 1.8m</t>
  </si>
  <si>
    <t>Cable coaxial y antena para externa para interperie</t>
  </si>
  <si>
    <t>Otros</t>
  </si>
  <si>
    <t>Extintor</t>
  </si>
  <si>
    <t>Instalaciones internas</t>
  </si>
  <si>
    <t>Tomacorriente doble con polo a tierra</t>
  </si>
  <si>
    <t>Caja PVC 2" x 4"</t>
  </si>
  <si>
    <t>Cable de Aluminio Desnudo. 3/0 AWG</t>
  </si>
  <si>
    <t>Varilla de cobre 5/8 x 2.4 m</t>
  </si>
  <si>
    <t>Soldadura exotermina 90 gr</t>
  </si>
  <si>
    <t>Grapas de sujeción</t>
  </si>
  <si>
    <t>Terminal doble ojo #2/0 AWG</t>
  </si>
  <si>
    <t>Caja de inspección 30x30 cm con tapa</t>
  </si>
  <si>
    <t>Kit de barra de cobre para puesta tierra de 10 conectores con área transversal no menor a 21,14 mm2. Incluye aisladores y accesorios de sujeción</t>
  </si>
  <si>
    <t>Cable de Aluminio Serie  8000 THHN. 2 AWG</t>
  </si>
  <si>
    <t>Cable de Aluminio Serie  8000 THHN. 4 AWG</t>
  </si>
  <si>
    <t>Cinta acero inoxidable 19 mm (3/4")</t>
  </si>
  <si>
    <t>Hebilla acero inoxidable para cinta 19 mm (3/4")</t>
  </si>
  <si>
    <t>Ojo de aluminio para acometida domiciliaria</t>
  </si>
  <si>
    <t>Pinza de anclaje acometida domiciliaria</t>
  </si>
  <si>
    <t>Perno 7/16" con chazo</t>
  </si>
  <si>
    <t>Abrazadera metálica galvanizada doble ala 3/4"</t>
  </si>
  <si>
    <t>Cable de aluminio antifraude (con neutro concéntrico) 2 x No. 6 AWG</t>
  </si>
  <si>
    <t>Tuberia conduit PVC tipo A 3/4"</t>
  </si>
  <si>
    <t>Tubería conduit PVC SCH 40 3/4"</t>
  </si>
  <si>
    <t>Cable Cu Desnudo 8 AWG</t>
  </si>
  <si>
    <t>Medidor de energía monofásico bifilar 5 (80) A, 120 V, calibrado y certificado</t>
  </si>
  <si>
    <t>Caja policarbonato para medidor monofásico prepago con cumplimiento RETIE</t>
  </si>
  <si>
    <t>Civil</t>
  </si>
  <si>
    <t>Hilo para albañileria en poliuretano</t>
  </si>
  <si>
    <t>Agua</t>
  </si>
  <si>
    <t>L</t>
  </si>
  <si>
    <t>Agregado grueso (grava, grava triturada y/o roca triturada)</t>
  </si>
  <si>
    <t>Agregado fino para concreto (tamaño máximo 4,75mm - arena natural o trituración de roca, gravas, y/o escorias)</t>
  </si>
  <si>
    <t>Cemento hidráulico tipo ART</t>
  </si>
  <si>
    <t>Acero de refuerzo fy=420 MPa</t>
  </si>
  <si>
    <t>Alambre negro para amarre calibre 18</t>
  </si>
  <si>
    <t>Piedra rajón</t>
  </si>
  <si>
    <t>Impermeabilizante para concreto</t>
  </si>
  <si>
    <t>Acero galvanizado para estructura de soporte de paneles fotovoltaicos (ASTM A500 Gr.C y ASTM A653 Gr.50)</t>
  </si>
  <si>
    <t>Aislante de neopreno e mín.=6 mm</t>
  </si>
  <si>
    <t>m</t>
  </si>
  <si>
    <t>Pintura anticorrosiva</t>
  </si>
  <si>
    <t>gal</t>
  </si>
  <si>
    <t>Kit para construcción del sistema de recolección y suministro de aguas lluvias. Incluye botellas PET, tubería en PVC, canales, uniones y bajantes, láminas en superboard, válvulas, accesores, empaques, según diseño</t>
  </si>
  <si>
    <t xml:space="preserve">Poste en poliéster reforzado con fibra de vidrio (PRFV) ASCE 104/ASTM D4923, h=4m, 510kgf. </t>
  </si>
  <si>
    <t>FUSIBLE Gg 1P 250 A 25 kA</t>
  </si>
  <si>
    <t>FUSIBLE Gg 1P 160 A 25 kA</t>
  </si>
  <si>
    <t xml:space="preserve">Canaleta ranurada dexon 40 x 40 mm </t>
  </si>
  <si>
    <t>Gabinete 150cmx100cmx60cm (ALxANxF) TS BMT FMT BB - CAL 16 CRRAL 7035</t>
  </si>
  <si>
    <t>Conduit pvc tipo A - 2"</t>
  </si>
  <si>
    <t>Soldadura PVC</t>
  </si>
  <si>
    <t>Curva PVC 2"</t>
  </si>
  <si>
    <t>Union PVC 2"</t>
  </si>
  <si>
    <t>Cinta amarilla</t>
  </si>
  <si>
    <t>Cinta roja</t>
  </si>
  <si>
    <t>Cable Al Multiplex Triplex 2x1/0 + 1/0 THWN</t>
  </si>
  <si>
    <t>Cable Al Multiplex Triplex 2x2 + 2 THWN</t>
  </si>
  <si>
    <t>Caja de inspección</t>
  </si>
  <si>
    <t>Caja de inspección de BT, Norma Codensa CS274-1. Incluye rejilla para drenaje, tubería de desagüe, sellantes, marco metálico en ángulo de (2 1/2" x 2 1/2" x 3/16") y tapa en concreto reforzado.</t>
  </si>
  <si>
    <t>Barraje Premoldeado Para Baja Tensión Sumergible 500A 6 Puertos</t>
  </si>
  <si>
    <t>Terminal PVC tipo A 2"</t>
  </si>
  <si>
    <t>Sellador elástico cortafuego de silicona</t>
  </si>
  <si>
    <t>Tablero de distribución 1Ø - 3H de 4 circuitos</t>
  </si>
  <si>
    <t>Interruptor termomagnético enchufable 1 x 20 A, 120 VAC - 10 KA</t>
  </si>
  <si>
    <t>Caja PVC 4" x 4" con tapa lisa</t>
  </si>
  <si>
    <t>Plafón de losa</t>
  </si>
  <si>
    <t>Interruptor sencillo</t>
  </si>
  <si>
    <t>Conector tipo resorte No 12 AWG</t>
  </si>
  <si>
    <t>Cable Cu THHN 12 AWG</t>
  </si>
  <si>
    <t>Tornillo metálico galvanizado 1/4" x 1" con arandela</t>
  </si>
  <si>
    <t>Caja PVC Octagonal</t>
  </si>
  <si>
    <t>Estación metereologica inalambrica con sensor de humedad, temperatura, velocidad de viento, irradiación solar, radiación UV, precipitación incluye pantalla de monitorización</t>
  </si>
  <si>
    <t>Tubo de acero 2" mástil de soporte</t>
  </si>
  <si>
    <t>Soporte riel chanel 2x4cm x3m</t>
  </si>
  <si>
    <t>Grapas riel chanel conduit EMT 2"</t>
  </si>
  <si>
    <t>Cable Cu solar XLPE 10 AWG 1kV 120 °C</t>
  </si>
  <si>
    <t>Cable Cu THHN 10 AWG</t>
  </si>
  <si>
    <t>Uniones, curvas y terminales IMC. Varios calibres</t>
  </si>
  <si>
    <t>Tuberia conduit IMC 3/4"</t>
  </si>
  <si>
    <t>Barra bornera tierra con soporte plástico riel din de 10 cm</t>
  </si>
  <si>
    <t>Barra de cobre 12x2x100 mm (incluye aisladores)</t>
  </si>
  <si>
    <t xml:space="preserve">Canaleta ranurada dexon 25 x 40 mm </t>
  </si>
  <si>
    <t>Cinta de amarre dexon 10 cm color blanco</t>
  </si>
  <si>
    <t>Gabinete metálico con puerta y chapa para equipos y conexiones DC/AC de 598 mm de ancho, 840 mm de alto, 460 cm de fondo (incluye doblefondo, angeos, diseño y fabricación a la medida de los componentes), con soporte interior para batería 48V/100Ah)</t>
  </si>
  <si>
    <t>Marcador tipo anillo ar2 (+, -, L, N,T) x 20 Piezas</t>
  </si>
  <si>
    <t>Tornillo autoperforante de cabeza estrella 1/4" x 1/4"</t>
  </si>
  <si>
    <t xml:space="preserve">Interruptor termomagnético 25A 2P 500 VDC 6 Ka </t>
  </si>
  <si>
    <t xml:space="preserve">Interruptor termomagnético 80A 2P 500 VDC 6 Ka </t>
  </si>
  <si>
    <t xml:space="preserve">Interruptor termomagnético 25A 1P 120 VAC 10 Ka </t>
  </si>
  <si>
    <t>Cable Cu Soldador 2 AWG</t>
  </si>
  <si>
    <t>Cable Cu SGT 2 AWG</t>
  </si>
  <si>
    <t>Controlador de carga MPPT 48 VDC capacidad 50 A</t>
  </si>
  <si>
    <t>Batería de ión - litio tipo fosfato de hierro (LiFePO4) de ciclo profundo de 100 Ah - 51,2 VDC</t>
  </si>
  <si>
    <t>Inversor de onda senoidal pura 48 VDC / 120 VAC -  2000 VA, FP=1</t>
  </si>
  <si>
    <t>Malla electrosoldada 150x150x5mm ASTM 706</t>
  </si>
  <si>
    <t>Poste en acero galvanizado al caliente de 3 m, 510kgf. contiene: platina base en lámina ASTM A36 y soporte fijo para 2 paneles solares.</t>
  </si>
  <si>
    <t>Datalogguer (Toma de datos medidor)</t>
  </si>
  <si>
    <t>Coraza flexible Liquid Tight 1"</t>
  </si>
  <si>
    <t>Abrazadera metálica doble ala 1"</t>
  </si>
  <si>
    <t>Conector recto coraza Liquid Tight 1"</t>
  </si>
  <si>
    <t>Barraje de cobre tropicalizado de 200 A para 16 conexiones</t>
  </si>
  <si>
    <t>Barraje de cobre tropicalizado de 550 A para 16 conexiones</t>
  </si>
  <si>
    <t>Barraje de cobre tropicalizado de 100 A para 16 conexiones</t>
  </si>
  <si>
    <t>Interruptor termomagnético 80 A 1P 120/240 VAC 10kA</t>
  </si>
  <si>
    <t>Interruptor termomagnético 160 A 1P 120/240 VAC 10kA</t>
  </si>
  <si>
    <t>Interruptor termomagnético 110 A 2P 120/240 VAC 10kA</t>
  </si>
  <si>
    <t>Barraje de cobre tropicalizado de 120 A para 16 conexiones</t>
  </si>
  <si>
    <t>Controlador MPPT 250/60A, tensiones de trabajo a 24V-48V, con conexión bluetoot y VE.CAN para configuración y monitorización de historico, eficiencia de conversión 99%, función de trabajo en paralelo</t>
  </si>
  <si>
    <t>Barraje de cobre tropicalizado de 400 A para 16 conexiones</t>
  </si>
  <si>
    <t>Cable Cu SGT 6 AWG</t>
  </si>
  <si>
    <t>Cable Cu SGT 4 AWG</t>
  </si>
  <si>
    <t>Cable Cu SGT 1/0 AWG</t>
  </si>
  <si>
    <t>Barraje de cobre tropicalizado de 60 A para 16 conexiones</t>
  </si>
  <si>
    <t>Interruptor termomagnético 50 A 1P 120/240 VAC 10kA</t>
  </si>
  <si>
    <t>Barraje de cobre tropicalizado de 125 A para 16 conexiones</t>
  </si>
  <si>
    <t>Interruptor termomagnético 90 A 2P 120/240 VAC 10kA</t>
  </si>
  <si>
    <t>Canaleta conduit de 60x200 mm</t>
  </si>
  <si>
    <t>Cable de Aluminio Serie  8000 THHN. 6 AWG</t>
  </si>
  <si>
    <t>Barraje de cobre tropicalizado de 30 A para 6 conexiones</t>
  </si>
  <si>
    <t>Módulo solar fotovoltaico monocristalino tipo PERC "Half Cell" TIER 1 de 570 Wp</t>
  </si>
  <si>
    <t>Controlador MPPT 150/60A, tensiones de trabajo a 24V-48V, con conexión bluetoot y VE.CAN para configuración y monitorización de historico, eficiencia de conversión 99%, función de trabajo en paralelo</t>
  </si>
  <si>
    <t>Barraje de cobre tropicalizado de 350 A para 16 conexiones</t>
  </si>
  <si>
    <t>Interruptor termomagnético 60 A 1P 120/240 VAC 10kA</t>
  </si>
  <si>
    <t>Interruptor termomagnético 80 A 2P 120/240 VAC 10kA</t>
  </si>
  <si>
    <t>Barraje de cobre tropicalizado de 135 A para 16 conexiones</t>
  </si>
  <si>
    <t xml:space="preserve">Interruptor termomagnético 160A 2P 500 VDC 6 Ka </t>
  </si>
  <si>
    <t>Barraje de cobre tropicalizado de 270 A para 16 conexiones</t>
  </si>
  <si>
    <t>Barraje de cobre tropicalizado de 160 A para 16 conexiones</t>
  </si>
  <si>
    <t>Barraje de cobre tropicalizado de 70 A para 16 conexiones</t>
  </si>
  <si>
    <t>Barraje de cobre tropicalizado de 150 A para 16 conexiones</t>
  </si>
  <si>
    <t>Interruptor termomagnético 50 A 2P 120/240 VAC 10kA</t>
  </si>
  <si>
    <t>Interruptor termomagnético 60 A 2P 120/240 VAC 10kA</t>
  </si>
  <si>
    <t xml:space="preserve">Interruptor termomagnético 125A 2P 500 VDC 6 Ka </t>
  </si>
  <si>
    <t>Tablero enchufe monofásico con cumplimiento retie</t>
  </si>
  <si>
    <t>Barraje de cobre tropicalizado de 80 A para 16 conexiones</t>
  </si>
  <si>
    <t>Interruptor termomagnético 40 A 2P 120/240 VAC 10kA</t>
  </si>
  <si>
    <t>Canaleta conduit de 60x100 mm</t>
  </si>
  <si>
    <t>Plan de datos satelital x año</t>
  </si>
  <si>
    <t>Radio Transmisor Telemetria + Cable Extensor Antena</t>
  </si>
  <si>
    <t>Radio Receptor Telemetria Control Maestro + Cable Extensor Antena</t>
  </si>
  <si>
    <t>Gabinete Controlador Maestro Y Panel</t>
  </si>
  <si>
    <t>Aplicativo Captura Datalogger (Datasol)</t>
  </si>
  <si>
    <t>Servidor (Pantalla-Teclado-Mouse)</t>
  </si>
  <si>
    <t>UPS  Servidor</t>
  </si>
  <si>
    <t>Alambre galvanizado No. 10</t>
  </si>
  <si>
    <t xml:space="preserve">Ángulo ASTM A36 de 1 1/2"x1 1/2"x 3/16" </t>
  </si>
  <si>
    <t>GAL</t>
  </si>
  <si>
    <t>Platina metálica pisamalla 3/8"x1/8"</t>
  </si>
  <si>
    <t>Alambre de puas galvanizado CAL 14</t>
  </si>
  <si>
    <t>Tubo cerramiento galvanizado φ1  1/2" x1.5 mm</t>
  </si>
  <si>
    <t>Tubo cerramiento galvanizado φ2" x2.5 mm</t>
  </si>
  <si>
    <t>Tubo cerramiento galvanizado φ2  1/2" x2.5 mm</t>
  </si>
  <si>
    <t>Tubo cerramiento galvanizado φ3" x3 mm</t>
  </si>
  <si>
    <t>Concreto simple resistencia 3000 psi - Mezcla in situ   para cimentación de cerramiento, incluye formaleta de madera</t>
  </si>
  <si>
    <t>Concreto Ciclópeo 40% Piedra rajón y 60% Concreto de 17 Mpa - Mezcal in situ</t>
  </si>
  <si>
    <t>Kit para construcción de envolvente cuarto de equipos según diseño. Incluye muros en WPC sistema interlocking, cubierta en teja de PVC 2.5 mm color blanca con caballetes, puertas en aluminio anodizado, rejillas de ventilación en aluminio , tornillería y piezas de sujeción.</t>
  </si>
  <si>
    <r>
      <t>m</t>
    </r>
    <r>
      <rPr>
        <vertAlign val="superscript"/>
        <sz val="11"/>
        <rFont val="Arial"/>
        <family val="2"/>
      </rPr>
      <t>2</t>
    </r>
  </si>
  <si>
    <t>Cable de Cobre Desnudo. 6 AWG</t>
  </si>
  <si>
    <t xml:space="preserve">Interruptor termomagnético 32A 2P 500 VDC 6 Ka </t>
  </si>
  <si>
    <t xml:space="preserve">Interruptor termomagnético 63A 1P 120/240V VAC 6 Ka </t>
  </si>
  <si>
    <t>DPS TIPO 1+2 2P Uc: 150 VAC Up: &lt; 1 kV In: 20 kA Iimp: 12,5 kA/polo Imax: 40 kA</t>
  </si>
  <si>
    <t>Interruptor Termomagnético 6A 1p 120/240v VAC 6 ka</t>
  </si>
  <si>
    <t xml:space="preserve">Interruptor termomagnético 63A 2P 120/240V VAC 6 Ka </t>
  </si>
  <si>
    <t xml:space="preserve">Interruptor termomagnético 30A 1P 120/240V VAC 6 Ka </t>
  </si>
  <si>
    <t>Modem celular 3G y LTE 4G, con receptor GPS integrado</t>
  </si>
  <si>
    <t>Medidor de energía AMI monofásico bifilar 5 (80) A, 120 V, calibrado</t>
  </si>
  <si>
    <t>Modulo externo 3G/4G</t>
  </si>
  <si>
    <t>Módulo solar fotovoltaico monocristalino tipo PERC "Half Cell" TIER 1 de 550 Wp</t>
  </si>
  <si>
    <t>Cable Cu solar XLPE 6mm 1kV 120 °C</t>
  </si>
  <si>
    <t xml:space="preserve">Interruptor termomagnético 25A 2P 120/240V VAC 10 Ka </t>
  </si>
  <si>
    <t>DPS Tipo 1+2 500 Uc Up 2,5 kV 18-40 kA</t>
  </si>
  <si>
    <t>Cable Cu THHN 4 AWG</t>
  </si>
  <si>
    <t>Cable Cu THHN 2 AWG</t>
  </si>
  <si>
    <t>Cable Cu THHN 1/0 AWG</t>
  </si>
  <si>
    <t>Cable Cu THHN 2/0 AWG</t>
  </si>
  <si>
    <t>Cable Cu THHN 6 AWG</t>
  </si>
  <si>
    <t xml:space="preserve">Interruptor termomagnético 20A 2P 120/240V VAC 10 Ka </t>
  </si>
  <si>
    <t>DPS- Señalizacion Tipo 2 2P 150 Uc 20-40 kA</t>
  </si>
  <si>
    <t>Cable de Cobre Desnudo. 2 AWG</t>
  </si>
  <si>
    <t>Bentonita mejorada</t>
  </si>
  <si>
    <t>BULTO</t>
  </si>
  <si>
    <t>Cable Cu THHN 8 AWG</t>
  </si>
  <si>
    <t>Barraje de cobre tropicalizado de 300 A para 16 conexiones</t>
  </si>
  <si>
    <t xml:space="preserve">Interruptor termomagnético 320A 2P 500 VDC 6 Ka </t>
  </si>
  <si>
    <t>Cable Cu THHN 250 MCM</t>
  </si>
  <si>
    <t>Barraje de cobre tropicalizado de 500 A para 16 conexiones</t>
  </si>
  <si>
    <t xml:space="preserve">Interruptor termomagnético 630A 2P 500 VDC 6 Ka </t>
  </si>
  <si>
    <t>Cable Cu THHN 350 MCM</t>
  </si>
  <si>
    <t xml:space="preserve">Autotransformador 15 kVA trifásico, IP40 Y/Y 120/208 V </t>
  </si>
  <si>
    <t>Interruptor termomagnético 50 A 3P 208 VAC 10kA</t>
  </si>
  <si>
    <t>Interruptor termomagnético 40 A 3P 208 VAC 10kA</t>
  </si>
  <si>
    <t>DPS- Señalizacion Tipo 2 3P 250 Uc 20-40 kA</t>
  </si>
  <si>
    <t>Tubo EMT 1 1/2"</t>
  </si>
  <si>
    <t>Unión EMT 1 1/2"</t>
  </si>
  <si>
    <t>Adaptador EMT 1 1/2"</t>
  </si>
  <si>
    <t>Curva EMT 1 1/2"</t>
  </si>
  <si>
    <t xml:space="preserve">Tubo EMT 2" </t>
  </si>
  <si>
    <t>Adaptador EMT 2"</t>
  </si>
  <si>
    <t>Unión EMT 2"</t>
  </si>
  <si>
    <t>Curva EMT 2"</t>
  </si>
  <si>
    <t xml:space="preserve">Tubo EMT 3" </t>
  </si>
  <si>
    <t>Adaptador EMT 3"</t>
  </si>
  <si>
    <t>Unión EMT 3"</t>
  </si>
  <si>
    <t>Curva EMT 3"</t>
  </si>
  <si>
    <t>Inversor Symo Advanced 15.0-3 480 WLAN/LAN/Webserver Fronius</t>
  </si>
  <si>
    <t>Inversor bidireccional Victron Quattro 10 kW 120 V</t>
  </si>
  <si>
    <t>Generador Diesel 3F 36kVA/29kW 230/132V abierto</t>
  </si>
  <si>
    <t>Transformador de distribución monofásico 5 kVA 13200/208/127 V.</t>
  </si>
  <si>
    <t>Transformador de distribución trifásico 30 kVA 13200/208/127 V.</t>
  </si>
  <si>
    <t>Aislador suspension sintetico-polimerico para 15 KV</t>
  </si>
  <si>
    <t>Arandela presión 5/8"</t>
  </si>
  <si>
    <t>Arandela presión 1/2"</t>
  </si>
  <si>
    <t xml:space="preserve">Cruceta de 2,4 Mts x 3 x 3 x 1/4 </t>
  </si>
  <si>
    <t>Grapa de retención aluminio 6 - 2/0 AWG</t>
  </si>
  <si>
    <t xml:space="preserve">Perno de maquina 5/8 X 10" </t>
  </si>
  <si>
    <t>Perno de maquina 1/2 X 1 1/2</t>
  </si>
  <si>
    <t>Espárrago 5/8 X 10"</t>
  </si>
  <si>
    <t>Tuerca de ojo redonda 5/8"</t>
  </si>
  <si>
    <t>Diagonal de 68 cm 1 1/2 x 1 1/2 x 3/16</t>
  </si>
  <si>
    <t>Arandela cuadrada 2 x 2 x 5/8 "</t>
  </si>
  <si>
    <t>Arandela cuadrada 2 x 2 x 1/2 "</t>
  </si>
  <si>
    <t>Conector de ranuras paralelas 2/0-2/0 tipo DBH-2</t>
  </si>
  <si>
    <t>Aislador tipo pin 15 kV ANSI 55-5</t>
  </si>
  <si>
    <t>Tuberia IMC 3" x 3m</t>
  </si>
  <si>
    <t>Capacete Galvanizado para tuberia IMC de 3"</t>
  </si>
  <si>
    <t>CURVA CONDUIT PVC 3" TDP</t>
  </si>
  <si>
    <t>Collarin 2 salidas 6" - 7"</t>
  </si>
  <si>
    <t>Perno carriage 5/8 x 2</t>
  </si>
  <si>
    <t>Conector en aluminio 2 pernos 6 - 2/0</t>
  </si>
  <si>
    <t>Cortacircuitos 15 KV</t>
  </si>
  <si>
    <t>Dado galvanizado de 3" x 3"</t>
  </si>
  <si>
    <t>Fusible tipo dual</t>
  </si>
  <si>
    <t>Grapa para conexión en caliente</t>
  </si>
  <si>
    <t>Pararrayos 12 kV - 10 kA</t>
  </si>
  <si>
    <t>Collarin para Transformador de 8 - 9 pl. 1/4 Bajo Silicio 200 mm</t>
  </si>
  <si>
    <t>Cable ACSR Nº 2</t>
  </si>
  <si>
    <t>ml</t>
  </si>
  <si>
    <t>Aislador tipo tensor 4/1/4"</t>
  </si>
  <si>
    <t>Grapa prensora 3 pernos para cable 3/8"</t>
  </si>
  <si>
    <t>Guardacabo para cable 3/8"</t>
  </si>
  <si>
    <t>Arandela cuadrada plano 4 x 4 x 5/8 "</t>
  </si>
  <si>
    <t>Varilla de anclaje 1.8 m x 5/8"</t>
  </si>
  <si>
    <t>Bloque de anclaje en Concreto</t>
  </si>
  <si>
    <t>Cable galvanizado 3/8"</t>
  </si>
  <si>
    <t>Soldadura exotermica 115 gr</t>
  </si>
  <si>
    <t xml:space="preserve">Cinta bandit 5/8" </t>
  </si>
  <si>
    <t>Hebilla de acero inoxidable 5/8"</t>
  </si>
  <si>
    <t>Tubo EMT 1/2 x 3m</t>
  </si>
  <si>
    <t>Hidrogel para tratamiento de tierras ( 25 KG)</t>
  </si>
  <si>
    <t>Aislador tipo carrete</t>
  </si>
  <si>
    <t xml:space="preserve">Conector Bimetalico 2 Perno 1/0 - 366 Kcmil </t>
  </si>
  <si>
    <t>Percha tipo pesado de 1 puestos</t>
  </si>
  <si>
    <t>Cable cuadruplex 3 x 2/0  + 1/0</t>
  </si>
  <si>
    <t>Cable triplex 2x4 + 4</t>
  </si>
  <si>
    <t>Cable monofásico concentrico 1x8+8 CU</t>
  </si>
  <si>
    <t>Union EMT 1/2"</t>
  </si>
  <si>
    <t>Terminal EMT 1/2"</t>
  </si>
  <si>
    <t>Curva EMT 1/2"</t>
  </si>
  <si>
    <t>Generador Diesel 3F 12kVA/10kW 230/132V cerrada</t>
  </si>
  <si>
    <t>Generador Diesel 3F 21kVA/19kW 230/132V cerrada</t>
  </si>
  <si>
    <t>Transformador de distribución para aplicación solar 75 kVA - 208V/13,2KV seco</t>
  </si>
  <si>
    <t>Transformador de distribución para aplicación solar 30 kVA - 208V/13,2KV seco</t>
  </si>
  <si>
    <t>Celda para transformador tipo seco de 15 KV (220 X 150 X 120) m, lámina de acero estirada en frío calibre 14-16, tratada químicamente para la desoxidación, desengrase y fosfatado, con acabado epóxico, aplicado electrostáticamente</t>
  </si>
  <si>
    <t>Caja para acometida en policarbonato trifásica 4 usuarios</t>
  </si>
  <si>
    <t xml:space="preserve">Brazo para soporte luminaria horizontal </t>
  </si>
  <si>
    <t xml:space="preserve">Luminaria led street light zd216 40w luz neutra </t>
  </si>
  <si>
    <t xml:space="preserve">Fotocelda </t>
  </si>
  <si>
    <t>Cable cuadruplex 3 x 1/0  + 1/0</t>
  </si>
  <si>
    <t xml:space="preserve">Conector Bimetalico 1 Perno No 1 Cab. 6 </t>
  </si>
  <si>
    <t>Capacete Galvanizado para tubería galvanizada 3/4"</t>
  </si>
  <si>
    <t>Tuberia IMC 3/4" x 3m</t>
  </si>
  <si>
    <t>Poste en fibra de vidrio 8m 750kgf</t>
  </si>
  <si>
    <t>Lampara Hermetica Led 3200lm 2x18w Ip65</t>
  </si>
  <si>
    <t>Batería de LiFePO4 6.4 kWh - 51,2V - 125 Ah,6000 ciclos con DOD 80%, incluido BMS</t>
  </si>
  <si>
    <t>Soporte para paneles incluye poste cónico en poliéster reforzado con fibra de vidrio (PRFV) de 510 kgf L=4 m y marco superior angular de acero galvanizado en caliente para 3 paneles con sistema de fijación al poste</t>
  </si>
  <si>
    <t xml:space="preserve">Interruptor termomagnético 20A 2P 500 VDC 6 Ka </t>
  </si>
  <si>
    <t>Comunicaciones</t>
  </si>
  <si>
    <t>Medidor Prepago 120V 5-80A</t>
  </si>
  <si>
    <t xml:space="preserve">Plataforma de Recaudo </t>
  </si>
  <si>
    <t>Datafono Telpo  Local</t>
  </si>
  <si>
    <t xml:space="preserve"> Software Datafono Telpo Local</t>
  </si>
  <si>
    <t>Datafono Telpo  Viajero</t>
  </si>
  <si>
    <t xml:space="preserve"> Software Datafono Telpo Viajero</t>
  </si>
  <si>
    <t>Entrenamiento y puesta en marcha plataforma (virtual)</t>
  </si>
  <si>
    <t>Entrenamiento y puesta en marcha servidor de captura (virtual)</t>
  </si>
  <si>
    <t xml:space="preserve">Medidor Prepago 120V 5-80A (AMI) </t>
  </si>
  <si>
    <t xml:space="preserve">Plataforma HES AMI </t>
  </si>
  <si>
    <t>Concentrador AMI PLC CL818C84</t>
  </si>
  <si>
    <t>Gabinete Concentrador</t>
  </si>
  <si>
    <t>Plan Internet Satelital Anual Estándar Starlink</t>
  </si>
  <si>
    <t>Equipo internet satelital Starlink Standar (incluye Antena + Router)</t>
  </si>
  <si>
    <t>Tomacorriente doble con polo a tierra GFCI</t>
  </si>
  <si>
    <t>Lámpara LED de sobreponer de 60 x 60 cm. - 40 W - 120 V</t>
  </si>
  <si>
    <t>Bombillo LED de 9 W - 120 V</t>
  </si>
  <si>
    <t>Módulo solar fotovoltaico monocristalino tipo PERC "Half Cell" TIER 1 de 670 Wp</t>
  </si>
  <si>
    <t>Caja para acometida en policarbonato trifásica 9 usuarios</t>
  </si>
  <si>
    <t>Baja Tensión</t>
  </si>
  <si>
    <t>CONECTOR DE PERFORACION TORN CHAQ AISL 2/0-2  P2X-95</t>
  </si>
  <si>
    <t>KIT PUESTA A TIERRA NEUTRO SECUNDARIO CON VARILLA</t>
  </si>
  <si>
    <t>ARANDELA GUASA DE 1/2" GALVANIZADA EN CALIENTE</t>
  </si>
  <si>
    <t>ARANDELA GUASA DE 5/8" GALVANIZADA EN CALIENTE</t>
  </si>
  <si>
    <t>COLLARIN DOS SALIDAS (7" - 8")</t>
  </si>
  <si>
    <t xml:space="preserve">GRAPA DE SUSPENSIÓN RED TRENZADA </t>
  </si>
  <si>
    <t xml:space="preserve">PERNO DE OJO ABIERTO DE 5/8 X 10 </t>
  </si>
  <si>
    <t>CAPUCHON PARA SELLAR PUNTAS DE CABLE</t>
  </si>
  <si>
    <t xml:space="preserve">GRAPA DE RETENCIÓN RED TRENZADA </t>
  </si>
  <si>
    <t xml:space="preserve">PERNO DE OJO CERRADO DE 5/8 X 10 </t>
  </si>
  <si>
    <t>Caja medidor pequeña con interruptor magnetico</t>
  </si>
  <si>
    <t>Datasol DC Wifi (inlcuye 2 tarjetas Mifare)</t>
  </si>
  <si>
    <t>Aplicativo servidor de captura datalogger</t>
  </si>
  <si>
    <t>App Software Android Lectura informacion medidores</t>
  </si>
  <si>
    <t>caja de conexión IP 68</t>
  </si>
  <si>
    <t xml:space="preserve">Interruptor termomagnético 30A 2P 500 VDC 6 Ka </t>
  </si>
  <si>
    <t xml:space="preserve">Fusible DC 32A </t>
  </si>
  <si>
    <t xml:space="preserve">Portafusibles 1P 1000VDC </t>
  </si>
  <si>
    <t>Cable Cu THHN 4/0 AWG</t>
  </si>
  <si>
    <t>Cable Cu Desnudo 4 AWG</t>
  </si>
  <si>
    <t>Cable Cu THHN 500 MCM</t>
  </si>
  <si>
    <t>Tubo conduit metalico EMT 3/4"</t>
  </si>
  <si>
    <t>Unión conduit metalica EMT 3/4"</t>
  </si>
  <si>
    <t>Terminal conduit metalica EMT 3/4"</t>
  </si>
  <si>
    <t>Regulador (Controlador) de carga MPPT de 48 VDC - 100 Amp. con display LCD, para batería de Ión - Litio tipo LiFePO4</t>
  </si>
  <si>
    <t>Inversor "off-grid" de 3000 W, 48 VDC - 120 VAC, 60 Hz, onda senoidal pura con display LCD</t>
  </si>
  <si>
    <t>Gabinete metálico uso interior para albergar regulador, inversor, baterías, medidor prepago, protecciones y conexiones DC / AC de 130 x 80 x 60 cm.</t>
  </si>
  <si>
    <t>Curva 90 x 3/4 pulgada conduit PVC</t>
  </si>
  <si>
    <t>Batería de ión - litio tipo fosfato de hierro (LiFePO4) de ciclo profundo de 200 Ah - 51,2 VDC</t>
  </si>
  <si>
    <t>Soporte extintor de CO2</t>
  </si>
  <si>
    <t>Cable de Cobre Desnudo. 2/0 AWG</t>
  </si>
  <si>
    <t>Caja medidor pequeña con accesorios</t>
  </si>
  <si>
    <t>Rak de comunicaciones 19" de 9 RU Dimensiones: 600 x 488  x 523 mm (Ancho x Alto x Profundidad).</t>
  </si>
  <si>
    <t xml:space="preserve">Tuerca enjaulada o tipo canasta + tornillos </t>
  </si>
  <si>
    <t>Organizador doble horizontal</t>
  </si>
  <si>
    <t>Tomacorriente Horizontal (PDU) de 8 Contactos</t>
  </si>
  <si>
    <t>Bandeja para soportar equipos en Rack de 19" y 34 cm</t>
  </si>
  <si>
    <t>Switch de red 1RU POE 10/100/1000</t>
  </si>
  <si>
    <t>Patch cord Cat6 de de 1.5 Mt</t>
  </si>
  <si>
    <t xml:space="preserve">Equipo Cerbo Gx Monitoreo Nano - Microrred </t>
  </si>
  <si>
    <t>Cables de conexión VE.Direct de 5 Mt</t>
  </si>
  <si>
    <t>Cable VE.Can to CAN-bus BMS cable</t>
  </si>
  <si>
    <t>Medidor PPKW CLSM-3F4H-CT BASE CL730D25 GPRS</t>
  </si>
  <si>
    <t>Gabinete Medidor macromedicion  + CTs + Accesorios</t>
  </si>
  <si>
    <t>Tuberia conduit IMC 1"</t>
  </si>
  <si>
    <t>Tuberia conduit PVC tipo A 1"</t>
  </si>
  <si>
    <t>Curva 90 x 1 pulgada conduit PVC</t>
  </si>
  <si>
    <t>Barraje de cobre tropicalizado de 900 A para 16 conexiones</t>
  </si>
  <si>
    <t>Interruptor termomagnético 175 A 2P 120/240 VAC 10kA</t>
  </si>
  <si>
    <t>Canaleta conduit de 60x40 mm</t>
  </si>
  <si>
    <t>Interruptor termomagnético 60 A 3P 208 VAC 10kA</t>
  </si>
  <si>
    <t>Union Metalica Galvanizada IMC de 3 IMC 3</t>
  </si>
  <si>
    <t>Curva 90 Grados Galvanizada IMC de 3</t>
  </si>
  <si>
    <t>Puntilla con cabeza 1"</t>
  </si>
  <si>
    <t>lb</t>
  </si>
  <si>
    <t>Estaca de madera h=0,50 - 0,60m A=4 25 cm</t>
  </si>
  <si>
    <t>Canal Raingo de PAVCO o similar - Blanca</t>
  </si>
  <si>
    <t xml:space="preserve">Tapa externa Canal Raingo de PAVCO o similar </t>
  </si>
  <si>
    <t>Unión bajante-Canal Raingo de PAVCO o similar</t>
  </si>
  <si>
    <t>Unión Canal Raingo de PAVCO o similar</t>
  </si>
  <si>
    <t>Unión bajante Canal Raingo de PAVCO o similar</t>
  </si>
  <si>
    <t>Bajante blanca 3 metros</t>
  </si>
  <si>
    <t>Soporte canal pvc raingo</t>
  </si>
  <si>
    <t>Soporte bajante</t>
  </si>
  <si>
    <t>Codo 45° bajante</t>
  </si>
  <si>
    <t>Lamina perforada fabricada en lámina metálica cl 18</t>
  </si>
  <si>
    <t>malla eslabonada calibre 10 ojo 2-1/4" x 2-1/4"</t>
  </si>
  <si>
    <t>Angulo 6m x 1-1/2 x 3/16 pulg</t>
  </si>
  <si>
    <t>Cable Guaya en Acero Galvanizado de 1/8"</t>
  </si>
  <si>
    <t>Perros Para Cable Galvanizado 1/8</t>
  </si>
  <si>
    <t>Thiner extrafino</t>
  </si>
  <si>
    <t>Pintura esmalte Tipo 1</t>
  </si>
  <si>
    <t>Disco Abrasivo Corte Metal 4-1/2-Pulgx1mm</t>
  </si>
  <si>
    <t>Postes Fibra de Vidrio 8 Metros X 510 Kgf Monolitico</t>
  </si>
  <si>
    <t>Tensor de Acometida BP Pequeño 19 mm - Maxima Fijacion y Resistencia</t>
  </si>
  <si>
    <t>Caja para acometida en policarbonato trifásica 6 usuarios</t>
  </si>
  <si>
    <t>C CPLEX 3x35mm² AAC CPR XLP SR+50mm² AAAC XLPE SR 600V 90°C</t>
  </si>
  <si>
    <t>C CUADUPLEX 3x70mm²+50mm² AAACXLP 0.6/1 kV 90°C</t>
  </si>
  <si>
    <t xml:space="preserve">Autotransformador tipo split 120/240AC, 32A </t>
  </si>
  <si>
    <t>transformador 15 KVA Vemtro 120/208 V 1H/3H Y</t>
  </si>
  <si>
    <t>CONECTOR DE TORNILLO CON CHAQUETA AISLANTE TIPO 2.</t>
  </si>
  <si>
    <t>CONECTOR DE TORNILLO CON CHAQUETA AISLANTE TIPO 4.</t>
  </si>
  <si>
    <t>Cable Cu THHN 3/0 AWG</t>
  </si>
  <si>
    <t xml:space="preserve">Interruptor termomagnético 400A 2P 500 VDC 6 Ka </t>
  </si>
  <si>
    <t xml:space="preserve">Interruptor termomagnético1250A 2P 500 VDC 6 Ka </t>
  </si>
  <si>
    <t>Angulo 50 x 50 x 3mm</t>
  </si>
  <si>
    <t>Angulo L ASTM A572 Gr. 50 galvanizado 1/8"x1 1/2"</t>
  </si>
  <si>
    <t>Angulo L ASTM A572 Gr. 50 galvanizado 1/4"x3"</t>
  </si>
  <si>
    <t>Platina ASTM A36 300x300, e=9,53mm</t>
  </si>
  <si>
    <t xml:space="preserve">Platina ASTM A36 200 x 50, e=6,35mm </t>
  </si>
  <si>
    <t>Soldadura electrodo E7018</t>
  </si>
  <si>
    <t xml:space="preserve">Perno ASTM A325 galvanizado 3/8", L=8" </t>
  </si>
  <si>
    <t>und</t>
  </si>
  <si>
    <t xml:space="preserve">Tornillo metálico galvanizado 13x38mm </t>
  </si>
  <si>
    <t xml:space="preserve">Angulo L ASTM A572 Gr. 50 galvanizado 3/16"x2 1/2" </t>
  </si>
  <si>
    <t xml:space="preserve">Angulo L ASTM A572 Gr. 50 galvanizado 1/4"x2" </t>
  </si>
  <si>
    <t>Subbase granular Clase C o similar</t>
  </si>
  <si>
    <t>Cant.</t>
  </si>
  <si>
    <t>Valor</t>
  </si>
  <si>
    <t>Paneles</t>
  </si>
  <si>
    <t>Totales</t>
  </si>
  <si>
    <t>Unitario</t>
  </si>
  <si>
    <t>670 wp</t>
  </si>
  <si>
    <t>120 Ah</t>
  </si>
  <si>
    <t>CRONOGRAMA Y FLUJO DE FONDOS</t>
  </si>
  <si>
    <t>V/TOTAL</t>
  </si>
  <si>
    <t>MES 1</t>
  </si>
  <si>
    <t>MES 2</t>
  </si>
  <si>
    <t>MES 3</t>
  </si>
  <si>
    <t>MES 4</t>
  </si>
  <si>
    <t>MES 5</t>
  </si>
  <si>
    <t>MES 6</t>
  </si>
  <si>
    <t>MES 7</t>
  </si>
  <si>
    <t>MES 8</t>
  </si>
  <si>
    <t>MES 9</t>
  </si>
  <si>
    <t>MES 10</t>
  </si>
  <si>
    <t>I</t>
  </si>
  <si>
    <t>PRECONTRACTUAL</t>
  </si>
  <si>
    <t>S 1 A S 4</t>
  </si>
  <si>
    <t>S 5 A S 8</t>
  </si>
  <si>
    <t>S 9 A S 12</t>
  </si>
  <si>
    <t>S 13 A S 16</t>
  </si>
  <si>
    <t>S 17 A S 20</t>
  </si>
  <si>
    <t>S 22 A S 24</t>
  </si>
  <si>
    <t>S 25 A S 28</t>
  </si>
  <si>
    <t>S 29 A S 32</t>
  </si>
  <si>
    <t>S 33 A S 36</t>
  </si>
  <si>
    <t>S 37 A S 40</t>
  </si>
  <si>
    <t>Contratación de Gerencia</t>
  </si>
  <si>
    <t>Contratación de Interventoría</t>
  </si>
  <si>
    <t>Contratación de Ejecutor</t>
  </si>
  <si>
    <t>II</t>
  </si>
  <si>
    <t>EJECUCIÓN</t>
  </si>
  <si>
    <t>Adquisición de equipos</t>
  </si>
  <si>
    <t>Transito de equipos</t>
  </si>
  <si>
    <t>legalización de equipos</t>
  </si>
  <si>
    <t>III</t>
  </si>
  <si>
    <t>ETAPA DE LIQUIDACIÓN</t>
  </si>
  <si>
    <t>Emitir y firmar las Actas de recibo de obras, Actas de entrega de activos al prestador del AOM.</t>
  </si>
  <si>
    <t>Entrega de infraestructura, recopilación de documentación y liquidación del contrato de obra</t>
  </si>
  <si>
    <t>Liquidación contrato de interventoría</t>
  </si>
  <si>
    <t>Liquidacion Administracion delegada y Certificado de cierre de saldos y entrega ENC</t>
  </si>
  <si>
    <t xml:space="preserve">VALOR TOTAL DEL PROYECTO </t>
  </si>
  <si>
    <t xml:space="preserve">% PROGRAMADO </t>
  </si>
  <si>
    <t>% ACUMULADO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</si>
</sst>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quot;$&quot;\ #,##0"/>
    <numFmt numFmtId="166" formatCode="_(&quot;$&quot;\ * #,##0.00_);_(&quot;$&quot;\ * \(#,##0.00\);_(&quot;$&quot;\ * &quot;-&quot;??_);_(@_)"/>
    <numFmt numFmtId="167" formatCode="0.0%"/>
    <numFmt numFmtId="168" formatCode="_-* #,##0.00\ &quot;Pts&quot;_-;\-* #,##0.00\ &quot;Pts&quot;_-;_-* &quot;-&quot;??\ &quot;Pts&quot;_-;_-@_-"/>
    <numFmt numFmtId="169" formatCode="_-[$$-240A]\ * #,##0.00_-;\-[$$-240A]\ * #,##0.00_-;_-[$$-240A]\ * &quot;-&quot;??_-;_-@_-"/>
    <numFmt numFmtId="170" formatCode="_-[$$-240A]* #,##0_-;\-[$$-240A]* #,##0_-;_-[$$-240A]* &quot;-&quot;??_-;_-@_-"/>
    <numFmt numFmtId="171" formatCode="#,##0.0"/>
    <numFmt numFmtId="172" formatCode="_-[$$-240A]* #,##0.0_-;\-[$$-240A]* #,##0.0_-;_-[$$-240A]* &quot;-&quot;??_-;_-@_-"/>
    <numFmt numFmtId="173" formatCode="_(* #,##0.00_);_(* \(#,##0.00\);_(* &quot;-&quot;??_);_(@_)"/>
    <numFmt numFmtId="174" formatCode="0.000"/>
    <numFmt numFmtId="175" formatCode="&quot;No. &quot;#,##0"/>
    <numFmt numFmtId="176" formatCode="_ &quot;$&quot;\ * #,##0.00_ ;_ &quot;$&quot;\ * \-#,##0.00_ ;_ &quot;$&quot;\ * &quot;-&quot;??_ ;_ @_ "/>
    <numFmt numFmtId="177" formatCode="_ * #,##0.00_ ;_ * \-#,##0.00_ ;_ * &quot;-&quot;??_ ;_ @_ "/>
    <numFmt numFmtId="178" formatCode="_-&quot;$&quot;* #,##0_-;\-&quot;$&quot;* #,##0_-;_-&quot;$&quot;* &quot;-&quot;_-;_-@_-"/>
    <numFmt numFmtId="179" formatCode="_-* #,##0\ &quot;Pts&quot;_-;\-* #,##0\ &quot;Pts&quot;_-;_-* &quot;-&quot;\ &quot;Pts&quot;_-;_-@_-"/>
    <numFmt numFmtId="180" formatCode="[$$-240A]\ #,##0.00"/>
    <numFmt numFmtId="181" formatCode="0.0000"/>
    <numFmt numFmtId="182" formatCode="_-&quot;$&quot;* #,##0.00_-;\-&quot;$&quot;* #,##0.00_-;_-&quot;$&quot;* &quot;-&quot;_-;_-@_-"/>
    <numFmt numFmtId="183" formatCode="_ &quot;$&quot;\ * #,##0_ ;_ &quot;$&quot;\ * \-#,##0_ ;_ &quot;$&quot;\ * &quot;-&quot;_ ;_ @_ "/>
    <numFmt numFmtId="184" formatCode="&quot;$&quot;\ #,##0.00;[Red]&quot;$&quot;\ \-#,##0.00"/>
    <numFmt numFmtId="185" formatCode="\$\ #,##0"/>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name val="Arial"/>
      <family val="2"/>
    </font>
    <font>
      <b/>
      <sz val="9"/>
      <color indexed="81"/>
      <name val="Tahoma"/>
      <family val="2"/>
    </font>
    <font>
      <sz val="9"/>
      <color indexed="81"/>
      <name val="Tahoma"/>
      <family val="2"/>
    </font>
    <font>
      <b/>
      <sz val="10"/>
      <name val="Arial"/>
      <family val="2"/>
    </font>
    <font>
      <u/>
      <sz val="10"/>
      <color theme="10"/>
      <name val="Arial"/>
      <family val="2"/>
    </font>
    <font>
      <b/>
      <sz val="11"/>
      <name val="Arial"/>
      <family val="2"/>
    </font>
    <font>
      <b/>
      <u/>
      <sz val="10"/>
      <name val="Arial"/>
      <family val="2"/>
    </font>
    <font>
      <sz val="11"/>
      <color rgb="FF000000"/>
      <name val="Calibri"/>
      <family val="2"/>
    </font>
    <font>
      <b/>
      <sz val="10"/>
      <color theme="1"/>
      <name val="Arial"/>
      <family val="2"/>
    </font>
    <font>
      <sz val="8"/>
      <name val="Arial"/>
      <family val="2"/>
    </font>
    <font>
      <sz val="8"/>
      <color rgb="FF000000"/>
      <name val="Lato"/>
      <family val="2"/>
    </font>
    <font>
      <b/>
      <sz val="14"/>
      <name val="Arial"/>
      <family val="2"/>
    </font>
    <font>
      <sz val="11"/>
      <name val="Arial"/>
      <family val="2"/>
    </font>
    <font>
      <sz val="11"/>
      <name val="Arial Unicode MS"/>
      <family val="2"/>
    </font>
    <font>
      <vertAlign val="superscript"/>
      <sz val="11"/>
      <name val="Arial"/>
      <family val="2"/>
    </font>
    <font>
      <sz val="11"/>
      <color theme="1"/>
      <name val="Arial Unicode MS"/>
      <family val="2"/>
    </font>
    <font>
      <sz val="11"/>
      <name val="Calibri"/>
      <family val="2"/>
    </font>
    <font>
      <sz val="11"/>
      <name val="Arial Unicode MS"/>
    </font>
    <font>
      <b/>
      <sz val="8"/>
      <name val="Arial"/>
      <family val="2"/>
    </font>
    <font>
      <sz val="9"/>
      <name val="Arial"/>
      <family val="2"/>
    </font>
    <font>
      <sz val="8"/>
      <name val="Arial"/>
      <family val="2"/>
    </font>
    <font>
      <b/>
      <sz val="11"/>
      <color theme="1"/>
      <name val="Calibri"/>
      <family val="2"/>
      <scheme val="minor"/>
    </font>
    <font>
      <sz val="10"/>
      <color theme="1"/>
      <name val="Arial"/>
      <family val="2"/>
    </font>
    <font>
      <sz val="10"/>
      <name val="Arial Narrow"/>
      <family val="2"/>
    </font>
    <font>
      <i/>
      <u/>
      <sz val="10"/>
      <name val="Arial"/>
      <family val="2"/>
    </font>
    <font>
      <sz val="11"/>
      <color indexed="8"/>
      <name val="Calibri"/>
      <family val="2"/>
    </font>
    <font>
      <sz val="12"/>
      <name val="Arial"/>
      <family val="2"/>
    </font>
    <font>
      <b/>
      <sz val="11"/>
      <color theme="1"/>
      <name val="Calibri"/>
      <family val="2"/>
    </font>
    <font>
      <sz val="12"/>
      <color rgb="FF000000"/>
      <name val="Calibri"/>
      <family val="2"/>
    </font>
    <font>
      <sz val="12"/>
      <color theme="1"/>
      <name val="Calibri"/>
      <family val="2"/>
    </font>
    <font>
      <u/>
      <sz val="11"/>
      <color theme="10"/>
      <name val="Calibri"/>
      <family val="2"/>
      <scheme val="minor"/>
    </font>
    <font>
      <b/>
      <sz val="9"/>
      <name val="Arial"/>
      <family val="2"/>
    </font>
    <font>
      <b/>
      <sz val="20"/>
      <color theme="1"/>
      <name val="Calibri"/>
      <family val="2"/>
    </font>
    <font>
      <b/>
      <sz val="12"/>
      <color theme="1"/>
      <name val="Calibri"/>
      <family val="2"/>
    </font>
    <font>
      <b/>
      <sz val="12"/>
      <color rgb="FF000000"/>
      <name val="Calibri"/>
      <family val="2"/>
    </font>
    <font>
      <sz val="11"/>
      <color rgb="FF006100"/>
      <name val="Calibri"/>
      <family val="2"/>
      <scheme val="minor"/>
    </font>
    <font>
      <b/>
      <sz val="8"/>
      <color theme="1"/>
      <name val="Arial"/>
      <family val="2"/>
    </font>
    <font>
      <b/>
      <sz val="14"/>
      <color theme="1"/>
      <name val="Calibri"/>
      <family val="2"/>
      <scheme val="minor"/>
    </font>
    <font>
      <b/>
      <sz val="12"/>
      <color theme="1"/>
      <name val="Calibri"/>
      <family val="2"/>
      <scheme val="minor"/>
    </font>
    <font>
      <sz val="11"/>
      <color rgb="FF000000"/>
      <name val="Calibri"/>
      <family val="2"/>
      <scheme val="minor"/>
    </font>
    <font>
      <b/>
      <sz val="8"/>
      <color theme="1"/>
      <name val="Calibri"/>
      <family val="2"/>
      <scheme val="minor"/>
    </font>
    <font>
      <b/>
      <sz val="11"/>
      <color rgb="FF000000"/>
      <name val="Calibri"/>
      <family val="2"/>
      <scheme val="minor"/>
    </font>
    <font>
      <b/>
      <i/>
      <sz val="10"/>
      <name val="Arial"/>
      <family val="2"/>
    </font>
    <font>
      <i/>
      <sz val="10"/>
      <name val="Arial"/>
      <family val="2"/>
    </font>
    <font>
      <vertAlign val="superscript"/>
      <sz val="9"/>
      <name val="Arial"/>
      <family val="2"/>
    </font>
    <font>
      <i/>
      <vertAlign val="superscript"/>
      <sz val="10"/>
      <name val="Arial"/>
      <family val="2"/>
    </font>
    <font>
      <sz val="10"/>
      <color rgb="FF202122"/>
      <name val="Arial"/>
      <family val="2"/>
    </font>
    <font>
      <sz val="11"/>
      <color theme="1"/>
      <name val="Aptos Narrow"/>
    </font>
    <font>
      <b/>
      <sz val="11"/>
      <name val="Calibri"/>
      <family val="2"/>
      <scheme val="minor"/>
    </font>
    <font>
      <sz val="8"/>
      <name val="Arial"/>
      <family val="2"/>
    </font>
    <font>
      <u/>
      <sz val="10"/>
      <color theme="10"/>
      <name val="Arial"/>
      <family val="2"/>
    </font>
    <font>
      <sz val="12"/>
      <color theme="1"/>
      <name val="Calibri"/>
      <family val="2"/>
      <scheme val="minor"/>
    </font>
    <font>
      <sz val="12"/>
      <color rgb="FF000000"/>
      <name val="Calibri"/>
      <family val="2"/>
      <scheme val="minor"/>
    </font>
    <font>
      <sz val="12"/>
      <name val="Calibri"/>
      <family val="2"/>
      <scheme val="minor"/>
    </font>
    <font>
      <sz val="10"/>
      <color rgb="FF000000"/>
      <name val="Times New Roman"/>
      <family val="1"/>
    </font>
    <font>
      <u/>
      <sz val="11"/>
      <color theme="10"/>
      <name val="Calibri"/>
      <family val="2"/>
    </font>
    <font>
      <sz val="12"/>
      <color rgb="FF006100"/>
      <name val="Calibri"/>
      <family val="2"/>
      <scheme val="minor"/>
    </font>
    <font>
      <sz val="12"/>
      <color theme="1"/>
      <name val="Calibri"/>
      <family val="2"/>
      <charset val="134"/>
      <scheme val="minor"/>
    </font>
    <font>
      <u/>
      <sz val="10"/>
      <color indexed="12"/>
      <name val="Arial"/>
      <family val="2"/>
    </font>
    <font>
      <sz val="12"/>
      <color theme="1"/>
      <name val="Arial"/>
      <family val="2"/>
    </font>
    <font>
      <sz val="10"/>
      <color rgb="FF000000"/>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14"/>
      <color rgb="FF000000"/>
      <name val="Calibri"/>
      <family val="2"/>
      <scheme val="minor"/>
    </font>
    <font>
      <sz val="11"/>
      <name val="Arial"/>
      <family val="2"/>
    </font>
    <font>
      <sz val="10"/>
      <name val="Arial"/>
      <family val="2"/>
    </font>
    <font>
      <sz val="8"/>
      <color rgb="FF000000"/>
      <name val="Calibri"/>
      <family val="2"/>
      <scheme val="minor"/>
    </font>
    <font>
      <sz val="10"/>
      <color rgb="FF000000"/>
      <name val="Times New Roman"/>
      <family val="1"/>
    </font>
    <font>
      <b/>
      <sz val="14"/>
      <name val="Arial"/>
      <family val="2"/>
    </font>
    <font>
      <b/>
      <sz val="11"/>
      <name val="Arial"/>
      <family val="2"/>
    </font>
    <font>
      <b/>
      <sz val="11"/>
      <color rgb="FF000000"/>
      <name val="Arial"/>
      <family val="2"/>
    </font>
    <font>
      <b/>
      <i/>
      <sz val="11"/>
      <name val="Arial"/>
      <family val="2"/>
    </font>
    <font>
      <sz val="11"/>
      <name val="Arial MT"/>
    </font>
    <font>
      <sz val="11"/>
      <name val="Arial MT"/>
      <family val="2"/>
    </font>
    <font>
      <sz val="11"/>
      <name val="Calibri"/>
      <family val="2"/>
    </font>
    <font>
      <sz val="11"/>
      <name val="Calibri"/>
      <family val="1"/>
    </font>
    <font>
      <sz val="11"/>
      <color rgb="FF000000"/>
      <name val="Arial MT"/>
      <family val="2"/>
    </font>
    <font>
      <sz val="11"/>
      <name val="Verdana"/>
      <family val="2"/>
    </font>
    <font>
      <b/>
      <i/>
      <sz val="11"/>
      <name val="Verdana"/>
      <family val="2"/>
    </font>
    <font>
      <sz val="11"/>
      <color rgb="FF000000"/>
      <name val="Verdana"/>
      <family val="2"/>
    </font>
  </fonts>
  <fills count="46">
    <fill>
      <patternFill patternType="none"/>
    </fill>
    <fill>
      <patternFill patternType="gray125"/>
    </fill>
    <fill>
      <patternFill patternType="solid">
        <fgColor rgb="FFFFCC99"/>
      </patternFill>
    </fill>
    <fill>
      <patternFill patternType="solid">
        <fgColor theme="3"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2F2F2"/>
        <bgColor rgb="FFF2F2F2"/>
      </patternFill>
    </fill>
    <fill>
      <patternFill patternType="solid">
        <fgColor rgb="FFD8D8D8"/>
        <bgColor rgb="FFD8D8D8"/>
      </patternFill>
    </fill>
    <fill>
      <patternFill patternType="solid">
        <fgColor theme="0" tint="-0.249977111117893"/>
        <bgColor indexed="64"/>
      </patternFill>
    </fill>
    <fill>
      <patternFill patternType="solid">
        <fgColor theme="7" tint="0.79998168889431442"/>
        <bgColor indexed="64"/>
      </patternFill>
    </fill>
    <fill>
      <patternFill patternType="solid">
        <fgColor theme="7"/>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BFBFBF"/>
        <bgColor rgb="FFBFBFBF"/>
      </patternFill>
    </fill>
    <fill>
      <patternFill patternType="solid">
        <fgColor rgb="FFDADADA"/>
        <bgColor rgb="FFDADADA"/>
      </patternFill>
    </fill>
    <fill>
      <patternFill patternType="solid">
        <fgColor rgb="FF9CC2E5"/>
        <bgColor rgb="FF9CC2E5"/>
      </patternFill>
    </fill>
    <fill>
      <patternFill patternType="solid">
        <fgColor rgb="FFFFFFFF"/>
        <bgColor rgb="FFFFFFFF"/>
      </patternFill>
    </fill>
    <fill>
      <patternFill patternType="solid">
        <fgColor rgb="FFFFC000"/>
        <bgColor indexed="64"/>
      </patternFill>
    </fill>
    <fill>
      <patternFill patternType="solid">
        <fgColor rgb="FF8EAADB"/>
        <bgColor rgb="FF8EAADB"/>
      </patternFill>
    </fill>
    <fill>
      <patternFill patternType="solid">
        <fgColor theme="4" tint="0.39997558519241921"/>
        <bgColor rgb="FF8EAADB"/>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8" tint="0.39997558519241921"/>
        <bgColor rgb="FFF2F2F2"/>
      </patternFill>
    </fill>
    <fill>
      <patternFill patternType="solid">
        <fgColor theme="6" tint="0.39997558519241921"/>
        <bgColor rgb="FFF2F2F2"/>
      </patternFill>
    </fill>
    <fill>
      <patternFill patternType="solid">
        <fgColor rgb="FFC6EFCE"/>
      </patternFill>
    </fill>
    <fill>
      <patternFill patternType="solid">
        <fgColor theme="5"/>
        <bgColor indexed="64"/>
      </patternFill>
    </fill>
    <fill>
      <patternFill patternType="solid">
        <fgColor rgb="FFEACA6B"/>
        <bgColor indexed="64"/>
      </patternFill>
    </fill>
    <fill>
      <patternFill patternType="solid">
        <fgColor rgb="FFFFE177"/>
        <bgColor indexed="64"/>
      </patternFill>
    </fill>
    <fill>
      <patternFill patternType="solid">
        <fgColor rgb="FFFDEFBB"/>
        <bgColor indexed="64"/>
      </patternFill>
    </fill>
    <fill>
      <patternFill patternType="solid">
        <fgColor rgb="FFFF99FF"/>
        <bgColor indexed="64"/>
      </patternFill>
    </fill>
    <fill>
      <patternFill patternType="solid">
        <fgColor rgb="FF00FFFF"/>
        <bgColor indexed="64"/>
      </patternFill>
    </fill>
    <fill>
      <patternFill patternType="solid">
        <fgColor rgb="FFFFFFCC"/>
      </patternFill>
    </fill>
    <fill>
      <patternFill patternType="solid">
        <fgColor rgb="FFEAC96B"/>
      </patternFill>
    </fill>
    <fill>
      <patternFill patternType="solid">
        <fgColor rgb="FFFFE077"/>
      </patternFill>
    </fill>
  </fills>
  <borders count="78">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style="thin">
        <color indexed="64"/>
      </left>
      <right style="thin">
        <color indexed="64"/>
      </right>
      <top/>
      <bottom style="thin">
        <color indexed="64"/>
      </bottom>
      <diagonal/>
    </border>
    <border>
      <left style="thin">
        <color rgb="FF00B050"/>
      </left>
      <right style="thin">
        <color rgb="FF00B050"/>
      </right>
      <top style="thin">
        <color rgb="FF00B050"/>
      </top>
      <bottom style="thin">
        <color rgb="FF00B05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rgb="FF00B050"/>
      </bottom>
      <diagonal/>
    </border>
    <border>
      <left/>
      <right style="thin">
        <color rgb="FF00B050"/>
      </right>
      <top/>
      <bottom style="thin">
        <color rgb="FF00B05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dotted">
        <color indexed="64"/>
      </left>
      <right style="dotted">
        <color indexed="64"/>
      </right>
      <top style="dotted">
        <color indexed="64"/>
      </top>
      <bottom style="dotted">
        <color indexed="64"/>
      </bottom>
      <diagonal/>
    </border>
    <border>
      <left style="thin">
        <color rgb="FF00B050"/>
      </left>
      <right style="thin">
        <color rgb="FF00B050"/>
      </right>
      <top/>
      <bottom style="thin">
        <color rgb="FF00B050"/>
      </bottom>
      <diagonal/>
    </border>
    <border>
      <left style="thin">
        <color rgb="FF00B050"/>
      </left>
      <right/>
      <top/>
      <bottom style="thin">
        <color rgb="FF00B050"/>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
      <left style="thin">
        <color rgb="FF000000"/>
      </left>
      <right style="medium">
        <color indexed="64"/>
      </right>
      <top style="medium">
        <color rgb="FF000000"/>
      </top>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top style="thin">
        <color theme="4"/>
      </top>
      <bottom style="double">
        <color theme="4"/>
      </bottom>
      <diagonal/>
    </border>
    <border>
      <left style="thin">
        <color rgb="FF23919D"/>
      </left>
      <right/>
      <top style="thin">
        <color rgb="FF23919D"/>
      </top>
      <bottom style="thin">
        <color rgb="FF23919D"/>
      </bottom>
      <diagonal/>
    </border>
    <border>
      <left/>
      <right/>
      <top style="thin">
        <color rgb="FF23919D"/>
      </top>
      <bottom style="thin">
        <color rgb="FF23919D"/>
      </bottom>
      <diagonal/>
    </border>
    <border>
      <left/>
      <right style="thin">
        <color rgb="FF23919D"/>
      </right>
      <top style="thin">
        <color rgb="FF23919D"/>
      </top>
      <bottom style="thin">
        <color rgb="FF23919D"/>
      </bottom>
      <diagonal/>
    </border>
    <border>
      <left style="thin">
        <color rgb="FF23919D"/>
      </left>
      <right style="thin">
        <color rgb="FF23919D"/>
      </right>
      <top style="thin">
        <color rgb="FF23919D"/>
      </top>
      <bottom/>
      <diagonal/>
    </border>
    <border>
      <left style="thin">
        <color rgb="FF23919D"/>
      </left>
      <right style="thin">
        <color rgb="FF23919D"/>
      </right>
      <top style="thin">
        <color rgb="FF23919D"/>
      </top>
      <bottom style="thin">
        <color rgb="FF23919D"/>
      </bottom>
      <diagonal/>
    </border>
    <border>
      <left/>
      <right style="thin">
        <color indexed="64"/>
      </right>
      <top/>
      <bottom style="thin">
        <color indexed="64"/>
      </bottom>
      <diagonal/>
    </border>
    <border>
      <left/>
      <right/>
      <top style="thin">
        <color rgb="FF000000"/>
      </top>
      <bottom/>
      <diagonal/>
    </border>
    <border>
      <left style="thin">
        <color rgb="FF000000"/>
      </left>
      <right style="thin">
        <color rgb="FF000000"/>
      </right>
      <top style="medium">
        <color indexed="64"/>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35">
    <xf numFmtId="0" fontId="0" fillId="0" borderId="0"/>
    <xf numFmtId="41"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22" fillId="2" borderId="1" applyNumberFormat="0" applyAlignment="0" applyProtection="0"/>
    <xf numFmtId="0" fontId="23" fillId="0" borderId="0"/>
    <xf numFmtId="0" fontId="27" fillId="0" borderId="0" applyNumberFormat="0" applyFill="0" applyBorder="0" applyAlignment="0" applyProtection="0"/>
    <xf numFmtId="9" fontId="30" fillId="0" borderId="0" applyFont="0" applyFill="0" applyBorder="0" applyAlignment="0" applyProtection="0"/>
    <xf numFmtId="168" fontId="23" fillId="0" borderId="0" applyFont="0" applyFill="0" applyBorder="0" applyAlignment="0" applyProtection="0"/>
    <xf numFmtId="0" fontId="23" fillId="0" borderId="0"/>
    <xf numFmtId="9" fontId="23" fillId="0" borderId="0" applyFont="0" applyFill="0" applyBorder="0" applyAlignment="0" applyProtection="0"/>
    <xf numFmtId="0" fontId="20" fillId="0" borderId="0"/>
    <xf numFmtId="0" fontId="23" fillId="0" borderId="0"/>
    <xf numFmtId="0" fontId="23" fillId="0" borderId="0"/>
    <xf numFmtId="0" fontId="19" fillId="0" borderId="0"/>
    <xf numFmtId="173" fontId="23" fillId="0" borderId="0" applyFont="0" applyFill="0" applyBorder="0" applyAlignment="0" applyProtection="0"/>
    <xf numFmtId="9" fontId="23" fillId="0" borderId="0" applyFont="0" applyFill="0" applyBorder="0" applyAlignment="0" applyProtection="0"/>
    <xf numFmtId="173" fontId="19" fillId="0" borderId="0" applyFont="0" applyFill="0" applyBorder="0" applyAlignment="0" applyProtection="0"/>
    <xf numFmtId="175" fontId="23" fillId="0" borderId="0" applyFont="0" applyFill="0" applyBorder="0" applyAlignment="0" applyProtection="0"/>
    <xf numFmtId="173" fontId="23" fillId="0" borderId="0" applyFont="0" applyFill="0" applyBorder="0" applyAlignment="0" applyProtection="0"/>
    <xf numFmtId="176" fontId="23" fillId="0" borderId="0" applyFont="0" applyFill="0" applyBorder="0" applyAlignment="0" applyProtection="0"/>
    <xf numFmtId="0" fontId="19" fillId="0" borderId="0"/>
    <xf numFmtId="166" fontId="48" fillId="0" borderId="0" applyFont="0" applyFill="0" applyBorder="0" applyAlignment="0" applyProtection="0"/>
    <xf numFmtId="0" fontId="23" fillId="0" borderId="0"/>
    <xf numFmtId="0" fontId="46" fillId="0" borderId="0"/>
    <xf numFmtId="177"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30" fillId="0" borderId="0"/>
    <xf numFmtId="178" fontId="30" fillId="0" borderId="0" applyFont="0" applyFill="0" applyBorder="0" applyAlignment="0" applyProtection="0"/>
    <xf numFmtId="0" fontId="23" fillId="0" borderId="0"/>
    <xf numFmtId="0" fontId="23" fillId="0" borderId="0"/>
    <xf numFmtId="9" fontId="19" fillId="0" borderId="0" applyFont="0" applyFill="0" applyBorder="0" applyAlignment="0" applyProtection="0"/>
    <xf numFmtId="0" fontId="19" fillId="0" borderId="0"/>
    <xf numFmtId="0" fontId="23" fillId="0" borderId="0"/>
    <xf numFmtId="0" fontId="23" fillId="0" borderId="0"/>
    <xf numFmtId="42" fontId="23" fillId="0" borderId="0" applyFont="0" applyFill="0" applyBorder="0" applyAlignment="0" applyProtection="0"/>
    <xf numFmtId="179" fontId="23" fillId="0" borderId="0" applyFont="0" applyFill="0" applyBorder="0" applyAlignment="0" applyProtection="0"/>
    <xf numFmtId="0" fontId="18" fillId="0" borderId="0"/>
    <xf numFmtId="9" fontId="52" fillId="0" borderId="0" applyFont="0" applyFill="0" applyBorder="0" applyAlignment="0" applyProtection="0"/>
    <xf numFmtId="173" fontId="23" fillId="0" borderId="0" applyFont="0" applyFill="0" applyBorder="0" applyAlignment="0" applyProtection="0"/>
    <xf numFmtId="42" fontId="18"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0" fillId="0" borderId="0"/>
    <xf numFmtId="0" fontId="52" fillId="0" borderId="0"/>
    <xf numFmtId="178" fontId="30" fillId="0" borderId="0" applyFont="0" applyFill="0" applyBorder="0" applyAlignment="0" applyProtection="0"/>
    <xf numFmtId="43" fontId="18" fillId="0" borderId="0" applyFont="0" applyFill="0" applyBorder="0" applyAlignment="0" applyProtection="0"/>
    <xf numFmtId="44" fontId="30" fillId="0" borderId="0" applyFont="0" applyFill="0" applyBorder="0" applyAlignment="0" applyProtection="0"/>
    <xf numFmtId="0" fontId="58" fillId="36" borderId="0" applyNumberFormat="0" applyBorder="0" applyAlignment="0" applyProtection="0"/>
    <xf numFmtId="0" fontId="44" fillId="0" borderId="62" applyNumberFormat="0" applyFill="0" applyAlignment="0" applyProtection="0"/>
    <xf numFmtId="0" fontId="17" fillId="0" borderId="0"/>
    <xf numFmtId="42" fontId="17" fillId="0" borderId="0" applyFont="0" applyFill="0" applyBorder="0" applyAlignment="0" applyProtection="0"/>
    <xf numFmtId="0" fontId="16" fillId="0" borderId="0"/>
    <xf numFmtId="0" fontId="15" fillId="0" borderId="0"/>
    <xf numFmtId="42" fontId="15" fillId="0" borderId="0" applyFont="0" applyFill="0" applyBorder="0" applyAlignment="0" applyProtection="0"/>
    <xf numFmtId="42" fontId="15" fillId="0" borderId="0" applyFont="0" applyFill="0" applyBorder="0" applyAlignment="0" applyProtection="0"/>
    <xf numFmtId="0" fontId="14" fillId="0" borderId="0"/>
    <xf numFmtId="42" fontId="14" fillId="0" borderId="0" applyFont="0" applyFill="0" applyBorder="0" applyAlignment="0" applyProtection="0"/>
    <xf numFmtId="0" fontId="13" fillId="0" borderId="0"/>
    <xf numFmtId="42" fontId="13" fillId="0" borderId="0" applyFont="0" applyFill="0" applyBorder="0" applyAlignment="0" applyProtection="0"/>
    <xf numFmtId="44" fontId="13" fillId="0" borderId="0" applyFont="0" applyFill="0" applyBorder="0" applyAlignment="0" applyProtection="0"/>
    <xf numFmtId="0" fontId="12" fillId="0" borderId="0"/>
    <xf numFmtId="42" fontId="12" fillId="0" borderId="0" applyFont="0" applyFill="0" applyBorder="0" applyAlignment="0" applyProtection="0"/>
    <xf numFmtId="44" fontId="12" fillId="0" borderId="0" applyFont="0" applyFill="0" applyBorder="0" applyAlignment="0" applyProtection="0"/>
    <xf numFmtId="0" fontId="11" fillId="0" borderId="0"/>
    <xf numFmtId="42" fontId="11" fillId="0" borderId="0" applyFont="0" applyFill="0" applyBorder="0" applyAlignment="0" applyProtection="0"/>
    <xf numFmtId="44" fontId="11" fillId="0" borderId="0" applyFont="0" applyFill="0" applyBorder="0" applyAlignment="0" applyProtection="0"/>
    <xf numFmtId="0" fontId="10" fillId="0" borderId="0"/>
    <xf numFmtId="0" fontId="9" fillId="0" borderId="0"/>
    <xf numFmtId="42" fontId="9" fillId="0" borderId="0" applyFont="0" applyFill="0" applyBorder="0" applyAlignment="0" applyProtection="0"/>
    <xf numFmtId="44" fontId="9" fillId="0" borderId="0" applyFont="0" applyFill="0" applyBorder="0" applyAlignment="0" applyProtection="0"/>
    <xf numFmtId="0" fontId="8" fillId="0" borderId="0"/>
    <xf numFmtId="0" fontId="8" fillId="0" borderId="0"/>
    <xf numFmtId="42" fontId="8" fillId="0" borderId="0" applyFont="0" applyFill="0" applyBorder="0" applyAlignment="0" applyProtection="0"/>
    <xf numFmtId="44" fontId="8" fillId="0" borderId="0" applyFont="0" applyFill="0" applyBorder="0" applyAlignment="0" applyProtection="0"/>
    <xf numFmtId="0" fontId="7" fillId="0" borderId="0"/>
    <xf numFmtId="42" fontId="7" fillId="0" borderId="0" applyFont="0" applyFill="0" applyBorder="0" applyAlignment="0" applyProtection="0"/>
    <xf numFmtId="44" fontId="7" fillId="0" borderId="0" applyFont="0" applyFill="0" applyBorder="0" applyAlignment="0" applyProtection="0"/>
    <xf numFmtId="0" fontId="73" fillId="0" borderId="0" applyNumberFormat="0" applyFill="0" applyBorder="0" applyAlignment="0" applyProtection="0"/>
    <xf numFmtId="0" fontId="6" fillId="0" borderId="0"/>
    <xf numFmtId="42" fontId="6" fillId="0" borderId="0" applyFont="0" applyFill="0" applyBorder="0" applyAlignment="0" applyProtection="0"/>
    <xf numFmtId="44" fontId="6" fillId="0" borderId="0" applyFont="0" applyFill="0" applyBorder="0" applyAlignment="0" applyProtection="0"/>
    <xf numFmtId="0" fontId="77" fillId="0" borderId="0"/>
    <xf numFmtId="0" fontId="30" fillId="0" borderId="0" applyNumberFormat="0" applyBorder="0" applyAlignment="0"/>
    <xf numFmtId="43" fontId="30" fillId="0" borderId="0" applyFont="0" applyFill="0" applyBorder="0" applyAlignment="0" applyProtection="0"/>
    <xf numFmtId="166" fontId="30" fillId="0" borderId="0" applyFont="0" applyFill="0" applyBorder="0" applyAlignment="0" applyProtection="0"/>
    <xf numFmtId="0" fontId="23" fillId="0" borderId="0"/>
    <xf numFmtId="9" fontId="23" fillId="0" borderId="0" applyFont="0" applyFill="0" applyBorder="0" applyAlignment="0" applyProtection="0"/>
    <xf numFmtId="0" fontId="30" fillId="0" borderId="0" applyNumberFormat="0" applyBorder="0" applyAlignment="0"/>
    <xf numFmtId="0" fontId="5" fillId="0" borderId="0"/>
    <xf numFmtId="166"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5" fillId="0" borderId="0"/>
    <xf numFmtId="0" fontId="23" fillId="0" borderId="0"/>
    <xf numFmtId="0" fontId="23" fillId="0" borderId="0"/>
    <xf numFmtId="9" fontId="5" fillId="0" borderId="0" applyFont="0" applyFill="0" applyBorder="0" applyAlignment="0" applyProtection="0"/>
    <xf numFmtId="0" fontId="5" fillId="0" borderId="0"/>
    <xf numFmtId="0" fontId="5" fillId="0" borderId="0"/>
    <xf numFmtId="0" fontId="5" fillId="0" borderId="0"/>
    <xf numFmtId="0" fontId="23" fillId="0" borderId="0"/>
    <xf numFmtId="0" fontId="5" fillId="0" borderId="0"/>
    <xf numFmtId="9" fontId="5" fillId="0" borderId="0" applyFont="0" applyFill="0" applyBorder="0" applyAlignment="0" applyProtection="0"/>
    <xf numFmtId="0" fontId="5" fillId="0" borderId="0"/>
    <xf numFmtId="0" fontId="30" fillId="43" borderId="72" applyNumberFormat="0" applyFont="0" applyAlignment="0" applyProtection="0"/>
    <xf numFmtId="0" fontId="5" fillId="0" borderId="0"/>
    <xf numFmtId="0" fontId="5" fillId="0" borderId="0"/>
    <xf numFmtId="43" fontId="30" fillId="0" borderId="0" applyFont="0" applyFill="0" applyBorder="0" applyAlignment="0" applyProtection="0"/>
    <xf numFmtId="166" fontId="30" fillId="0" borderId="0" applyFont="0" applyFill="0" applyBorder="0" applyAlignment="0" applyProtection="0"/>
    <xf numFmtId="166"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5" fillId="0" borderId="0"/>
    <xf numFmtId="0" fontId="5" fillId="43" borderId="72" applyNumberFormat="0" applyFont="0" applyAlignment="0" applyProtection="0"/>
    <xf numFmtId="0" fontId="5" fillId="0" borderId="0"/>
    <xf numFmtId="0" fontId="5" fillId="0" borderId="0"/>
    <xf numFmtId="9" fontId="5" fillId="0" borderId="0" applyFont="0" applyFill="0" applyBorder="0" applyAlignment="0" applyProtection="0"/>
    <xf numFmtId="0" fontId="74" fillId="0" borderId="0"/>
    <xf numFmtId="0" fontId="79" fillId="36" borderId="0" applyNumberFormat="0" applyBorder="0" applyAlignment="0" applyProtection="0"/>
    <xf numFmtId="0" fontId="74" fillId="43" borderId="72" applyNumberFormat="0" applyFont="0" applyAlignment="0" applyProtection="0"/>
    <xf numFmtId="178" fontId="74" fillId="0" borderId="0" applyFont="0" applyFill="0" applyBorder="0" applyAlignment="0" applyProtection="0"/>
    <xf numFmtId="0" fontId="5" fillId="0" borderId="0"/>
    <xf numFmtId="42" fontId="5" fillId="0" borderId="0" applyFont="0" applyFill="0" applyBorder="0" applyAlignment="0" applyProtection="0"/>
    <xf numFmtId="42" fontId="5" fillId="0" borderId="0" applyFont="0" applyFill="0" applyBorder="0" applyAlignment="0" applyProtection="0"/>
    <xf numFmtId="0" fontId="5" fillId="0" borderId="0"/>
    <xf numFmtId="0" fontId="5" fillId="43" borderId="72" applyNumberFormat="0" applyFont="0" applyAlignment="0" applyProtection="0"/>
    <xf numFmtId="0" fontId="5" fillId="0" borderId="0"/>
    <xf numFmtId="0" fontId="5" fillId="0" borderId="0"/>
    <xf numFmtId="9" fontId="5" fillId="0" borderId="0" applyFont="0" applyFill="0" applyBorder="0" applyAlignment="0" applyProtection="0"/>
    <xf numFmtId="0" fontId="23" fillId="0" borderId="0"/>
    <xf numFmtId="43" fontId="30" fillId="0" borderId="0" applyFont="0" applyFill="0" applyBorder="0" applyAlignment="0" applyProtection="0"/>
    <xf numFmtId="0" fontId="23" fillId="0" borderId="0"/>
    <xf numFmtId="43" fontId="23" fillId="0" borderId="0" applyFont="0" applyFill="0" applyBorder="0" applyAlignment="0" applyProtection="0"/>
    <xf numFmtId="0" fontId="5" fillId="0" borderId="0"/>
    <xf numFmtId="0" fontId="5" fillId="43" borderId="72" applyNumberFormat="0" applyFont="0" applyAlignment="0" applyProtection="0"/>
    <xf numFmtId="0" fontId="5" fillId="0" borderId="0"/>
    <xf numFmtId="0" fontId="5" fillId="0" borderId="0"/>
    <xf numFmtId="0" fontId="23" fillId="0" borderId="0"/>
    <xf numFmtId="9" fontId="5" fillId="0" borderId="0" applyFont="0" applyFill="0" applyBorder="0" applyAlignment="0" applyProtection="0"/>
    <xf numFmtId="0" fontId="5" fillId="0" borderId="0"/>
    <xf numFmtId="0" fontId="5" fillId="0" borderId="0"/>
    <xf numFmtId="0" fontId="5" fillId="0" borderId="0"/>
    <xf numFmtId="42" fontId="5" fillId="0" borderId="0" applyFont="0" applyFill="0" applyBorder="0" applyAlignment="0" applyProtection="0"/>
    <xf numFmtId="0" fontId="5" fillId="0" borderId="0"/>
    <xf numFmtId="0" fontId="5" fillId="0" borderId="0"/>
    <xf numFmtId="0" fontId="44" fillId="0" borderId="62" applyNumberFormat="0" applyFill="0" applyAlignment="0" applyProtection="0"/>
    <xf numFmtId="0" fontId="80" fillId="0" borderId="0"/>
    <xf numFmtId="9" fontId="74" fillId="0" borderId="0" applyFont="0" applyFill="0" applyBorder="0" applyAlignment="0" applyProtection="0"/>
    <xf numFmtId="177" fontId="23" fillId="0" borderId="0" applyFont="0" applyFill="0" applyBorder="0" applyAlignment="0" applyProtection="0"/>
    <xf numFmtId="0" fontId="23" fillId="0" borderId="0"/>
    <xf numFmtId="0" fontId="5" fillId="0" borderId="0"/>
    <xf numFmtId="42" fontId="48" fillId="0" borderId="0" applyFont="0" applyFill="0" applyBorder="0" applyAlignment="0" applyProtection="0"/>
    <xf numFmtId="0" fontId="23" fillId="0" borderId="0"/>
    <xf numFmtId="0" fontId="23" fillId="0" borderId="0"/>
    <xf numFmtId="183" fontId="23" fillId="0" borderId="0" applyFont="0" applyFill="0" applyBorder="0" applyAlignment="0" applyProtection="0"/>
    <xf numFmtId="184" fontId="23" fillId="0" borderId="0" applyFont="0" applyFill="0" applyBorder="0" applyAlignment="0" applyProtection="0"/>
    <xf numFmtId="0" fontId="23" fillId="0" borderId="0"/>
    <xf numFmtId="0" fontId="81" fillId="0" borderId="0" applyNumberFormat="0" applyFill="0" applyBorder="0" applyAlignment="0" applyProtection="0">
      <alignment vertical="top"/>
      <protection locked="0"/>
    </xf>
    <xf numFmtId="0" fontId="5" fillId="0" borderId="0"/>
    <xf numFmtId="166" fontId="30" fillId="0" borderId="0" applyFont="0" applyFill="0" applyBorder="0" applyAlignment="0" applyProtection="0"/>
    <xf numFmtId="178" fontId="3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9" fontId="5"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74" fillId="0" borderId="0" applyFont="0" applyFill="0" applyBorder="0" applyAlignment="0" applyProtection="0"/>
    <xf numFmtId="0" fontId="58" fillId="36" borderId="0" applyNumberFormat="0" applyBorder="0" applyAlignment="0" applyProtection="0"/>
    <xf numFmtId="0" fontId="5" fillId="0" borderId="0"/>
    <xf numFmtId="183" fontId="23" fillId="0" borderId="0" applyFont="0" applyFill="0" applyBorder="0" applyAlignment="0" applyProtection="0"/>
    <xf numFmtId="41" fontId="5" fillId="0" borderId="0" applyFont="0" applyFill="0" applyBorder="0" applyAlignment="0" applyProtection="0"/>
    <xf numFmtId="0" fontId="82" fillId="0" borderId="0"/>
    <xf numFmtId="0" fontId="5"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78" fillId="0" borderId="0" applyNumberFormat="0" applyFill="0" applyBorder="0" applyAlignment="0" applyProtection="0"/>
    <xf numFmtId="0" fontId="78" fillId="0" borderId="0" applyNumberFormat="0" applyFill="0" applyBorder="0" applyAlignment="0" applyProtection="0"/>
    <xf numFmtId="0" fontId="5" fillId="0" borderId="0"/>
    <xf numFmtId="0" fontId="5" fillId="0" borderId="0"/>
    <xf numFmtId="0" fontId="5" fillId="0" borderId="0"/>
    <xf numFmtId="41"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9" fontId="5" fillId="0" borderId="0" applyFont="0" applyFill="0" applyBorder="0" applyAlignment="0" applyProtection="0"/>
    <xf numFmtId="0" fontId="5" fillId="0" borderId="0"/>
    <xf numFmtId="42" fontId="23" fillId="0" borderId="0" applyFont="0" applyFill="0" applyBorder="0" applyAlignment="0" applyProtection="0"/>
    <xf numFmtId="0" fontId="5" fillId="0" borderId="0"/>
    <xf numFmtId="43" fontId="2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30"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0" fontId="5" fillId="0" borderId="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0" fontId="5" fillId="0" borderId="0"/>
    <xf numFmtId="42"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2" fontId="5" fillId="0" borderId="0" applyFont="0" applyFill="0" applyBorder="0" applyAlignment="0" applyProtection="0"/>
    <xf numFmtId="44" fontId="5" fillId="0" borderId="0" applyFont="0" applyFill="0" applyBorder="0" applyAlignment="0" applyProtection="0"/>
    <xf numFmtId="0" fontId="5" fillId="0" borderId="0"/>
    <xf numFmtId="42" fontId="5" fillId="0" borderId="0" applyFont="0" applyFill="0" applyBorder="0" applyAlignment="0" applyProtection="0"/>
    <xf numFmtId="44" fontId="5" fillId="0" borderId="0" applyFont="0" applyFill="0" applyBorder="0" applyAlignment="0" applyProtection="0"/>
    <xf numFmtId="0" fontId="5" fillId="0" borderId="0"/>
    <xf numFmtId="42" fontId="5" fillId="0" borderId="0" applyFont="0" applyFill="0" applyBorder="0" applyAlignment="0" applyProtection="0"/>
    <xf numFmtId="44" fontId="5" fillId="0" borderId="0" applyFont="0" applyFill="0" applyBorder="0" applyAlignment="0" applyProtection="0"/>
    <xf numFmtId="0" fontId="5" fillId="0" borderId="0"/>
    <xf numFmtId="4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2" fontId="92" fillId="0" borderId="0" applyFont="0" applyFill="0" applyBorder="0" applyAlignment="0" applyProtection="0"/>
    <xf numFmtId="0" fontId="94" fillId="0" borderId="0"/>
    <xf numFmtId="0" fontId="2" fillId="0" borderId="0"/>
  </cellStyleXfs>
  <cellXfs count="704">
    <xf numFmtId="0" fontId="0" fillId="0" borderId="0" xfId="0"/>
    <xf numFmtId="0" fontId="23" fillId="0" borderId="0" xfId="0" applyFont="1" applyAlignment="1">
      <alignment wrapText="1"/>
    </xf>
    <xf numFmtId="0" fontId="23" fillId="0" borderId="0" xfId="0" applyFont="1" applyAlignment="1">
      <alignment horizontal="center" wrapText="1"/>
    </xf>
    <xf numFmtId="0" fontId="0" fillId="0" borderId="0" xfId="0" applyAlignment="1">
      <alignment horizontal="center"/>
    </xf>
    <xf numFmtId="0" fontId="22" fillId="2" borderId="1" xfId="4" applyAlignment="1">
      <alignment horizontal="center"/>
    </xf>
    <xf numFmtId="1" fontId="22" fillId="2" borderId="1" xfId="4" applyNumberFormat="1"/>
    <xf numFmtId="164" fontId="22" fillId="2" borderId="1" xfId="4" applyNumberFormat="1"/>
    <xf numFmtId="0" fontId="23" fillId="6" borderId="0" xfId="0" applyFont="1" applyFill="1" applyAlignment="1">
      <alignment horizontal="center"/>
    </xf>
    <xf numFmtId="0" fontId="23" fillId="7" borderId="3" xfId="0" applyFont="1" applyFill="1" applyBorder="1" applyAlignment="1">
      <alignment horizontal="center"/>
    </xf>
    <xf numFmtId="0" fontId="23" fillId="7" borderId="3" xfId="0" applyFont="1" applyFill="1" applyBorder="1"/>
    <xf numFmtId="0" fontId="26" fillId="9" borderId="4" xfId="0" applyFont="1" applyFill="1" applyBorder="1" applyAlignment="1">
      <alignment vertical="center"/>
    </xf>
    <xf numFmtId="42" fontId="0" fillId="0" borderId="4" xfId="0" applyNumberFormat="1" applyBorder="1" applyAlignment="1">
      <alignment horizontal="center" vertical="center"/>
    </xf>
    <xf numFmtId="0" fontId="0" fillId="0" borderId="4" xfId="0" applyBorder="1" applyAlignment="1">
      <alignment horizontal="center"/>
    </xf>
    <xf numFmtId="42" fontId="0" fillId="0" borderId="4" xfId="0" applyNumberFormat="1" applyBorder="1" applyAlignment="1">
      <alignment vertical="center"/>
    </xf>
    <xf numFmtId="0" fontId="27" fillId="0" borderId="0" xfId="6" applyAlignment="1">
      <alignment horizontal="center"/>
    </xf>
    <xf numFmtId="0" fontId="27" fillId="0" borderId="4" xfId="6" applyBorder="1" applyAlignment="1">
      <alignment horizontal="center"/>
    </xf>
    <xf numFmtId="0" fontId="23" fillId="0" borderId="0" xfId="0" applyFont="1"/>
    <xf numFmtId="2" fontId="0" fillId="0" borderId="0" xfId="0" applyNumberFormat="1" applyAlignment="1">
      <alignment horizontal="center"/>
    </xf>
    <xf numFmtId="0" fontId="23" fillId="0" borderId="0" xfId="0" applyFont="1" applyAlignment="1">
      <alignment vertical="center"/>
    </xf>
    <xf numFmtId="165" fontId="0" fillId="0" borderId="0" xfId="0" applyNumberFormat="1" applyAlignment="1">
      <alignment horizontal="right" vertical="center"/>
    </xf>
    <xf numFmtId="9" fontId="0" fillId="0" borderId="0" xfId="0" applyNumberFormat="1" applyAlignment="1">
      <alignment horizontal="right"/>
    </xf>
    <xf numFmtId="165" fontId="0" fillId="0" borderId="0" xfId="0" applyNumberFormat="1"/>
    <xf numFmtId="0" fontId="27" fillId="0" borderId="0" xfId="6" applyBorder="1"/>
    <xf numFmtId="17" fontId="23" fillId="0" borderId="0" xfId="0" applyNumberFormat="1" applyFont="1" applyAlignment="1">
      <alignment horizontal="center"/>
    </xf>
    <xf numFmtId="0" fontId="0" fillId="0" borderId="0" xfId="0" applyAlignment="1">
      <alignment vertical="center"/>
    </xf>
    <xf numFmtId="0" fontId="23" fillId="0" borderId="0" xfId="0" applyFont="1" applyAlignment="1">
      <alignment horizontal="right"/>
    </xf>
    <xf numFmtId="0" fontId="23" fillId="0" borderId="0" xfId="0" applyFont="1" applyAlignment="1">
      <alignment vertical="center" wrapText="1"/>
    </xf>
    <xf numFmtId="0" fontId="29" fillId="0" borderId="6" xfId="0" applyFont="1" applyBorder="1" applyAlignment="1">
      <alignment horizontal="center" vertical="center" wrapText="1"/>
    </xf>
    <xf numFmtId="44" fontId="23" fillId="0" borderId="0" xfId="0" applyNumberFormat="1" applyFont="1" applyAlignment="1">
      <alignment vertical="center"/>
    </xf>
    <xf numFmtId="0" fontId="23" fillId="0" borderId="0" xfId="5"/>
    <xf numFmtId="0" fontId="26" fillId="0" borderId="0" xfId="5" applyFont="1" applyAlignment="1">
      <alignment vertical="center" wrapText="1"/>
    </xf>
    <xf numFmtId="0" fontId="26" fillId="0" borderId="0" xfId="5" quotePrefix="1" applyFont="1" applyAlignment="1">
      <alignment vertical="center" wrapText="1"/>
    </xf>
    <xf numFmtId="0" fontId="26" fillId="0" borderId="0" xfId="5" applyFont="1" applyAlignment="1">
      <alignment horizontal="left" vertical="center"/>
    </xf>
    <xf numFmtId="0" fontId="26" fillId="0" borderId="12" xfId="5" applyFont="1" applyBorder="1" applyAlignment="1">
      <alignment horizontal="center" vertical="center"/>
    </xf>
    <xf numFmtId="0" fontId="26" fillId="0" borderId="0" xfId="5" quotePrefix="1" applyFont="1" applyAlignment="1">
      <alignment horizontal="left"/>
    </xf>
    <xf numFmtId="0" fontId="26" fillId="0" borderId="0" xfId="5" applyFont="1" applyAlignment="1">
      <alignment horizontal="right"/>
    </xf>
    <xf numFmtId="0" fontId="26" fillId="0" borderId="12" xfId="5" applyFont="1" applyBorder="1"/>
    <xf numFmtId="0" fontId="26" fillId="0" borderId="9" xfId="5" applyFont="1" applyBorder="1" applyAlignment="1">
      <alignment horizontal="center"/>
    </xf>
    <xf numFmtId="0" fontId="26" fillId="0" borderId="12" xfId="5" applyFont="1" applyBorder="1" applyAlignment="1">
      <alignment horizontal="center"/>
    </xf>
    <xf numFmtId="0" fontId="23" fillId="0" borderId="9" xfId="5" applyBorder="1" applyAlignment="1">
      <alignment horizontal="justify" vertical="center"/>
    </xf>
    <xf numFmtId="0" fontId="23" fillId="0" borderId="12" xfId="5" applyBorder="1" applyAlignment="1">
      <alignment horizontal="center" vertical="center"/>
    </xf>
    <xf numFmtId="3" fontId="23" fillId="0" borderId="12" xfId="5" applyNumberFormat="1" applyBorder="1" applyAlignment="1">
      <alignment horizontal="center" vertical="center"/>
    </xf>
    <xf numFmtId="170" fontId="23" fillId="0" borderId="12" xfId="5" applyNumberFormat="1" applyBorder="1" applyAlignment="1">
      <alignment horizontal="justify" vertical="center"/>
    </xf>
    <xf numFmtId="0" fontId="23" fillId="0" borderId="9" xfId="5" applyBorder="1" applyAlignment="1">
      <alignment horizontal="left"/>
    </xf>
    <xf numFmtId="0" fontId="23" fillId="0" borderId="12" xfId="5" applyBorder="1" applyAlignment="1">
      <alignment horizontal="center"/>
    </xf>
    <xf numFmtId="3" fontId="23" fillId="0" borderId="12" xfId="5" applyNumberFormat="1" applyBorder="1" applyAlignment="1">
      <alignment horizontal="center"/>
    </xf>
    <xf numFmtId="4" fontId="23" fillId="0" borderId="12" xfId="5" applyNumberFormat="1" applyBorder="1" applyAlignment="1">
      <alignment horizontal="right"/>
    </xf>
    <xf numFmtId="0" fontId="26" fillId="0" borderId="0" xfId="5" applyFont="1"/>
    <xf numFmtId="0" fontId="26" fillId="0" borderId="12" xfId="5" applyFont="1" applyBorder="1" applyAlignment="1">
      <alignment horizontal="right"/>
    </xf>
    <xf numFmtId="170" fontId="26" fillId="0" borderId="12" xfId="5" applyNumberFormat="1" applyFont="1" applyBorder="1" applyAlignment="1">
      <alignment horizontal="right"/>
    </xf>
    <xf numFmtId="0" fontId="26" fillId="0" borderId="13" xfId="5" applyFont="1" applyBorder="1"/>
    <xf numFmtId="170" fontId="23" fillId="0" borderId="12" xfId="5" applyNumberFormat="1" applyBorder="1" applyAlignment="1">
      <alignment horizontal="right"/>
    </xf>
    <xf numFmtId="4" fontId="23" fillId="0" borderId="12" xfId="5" applyNumberFormat="1" applyBorder="1" applyAlignment="1">
      <alignment horizontal="center"/>
    </xf>
    <xf numFmtId="3" fontId="23" fillId="0" borderId="12" xfId="5" applyNumberFormat="1" applyBorder="1" applyAlignment="1">
      <alignment horizontal="right"/>
    </xf>
    <xf numFmtId="3" fontId="23" fillId="0" borderId="0" xfId="5" applyNumberFormat="1" applyAlignment="1">
      <alignment horizontal="right"/>
    </xf>
    <xf numFmtId="3" fontId="23" fillId="0" borderId="0" xfId="5" applyNumberFormat="1"/>
    <xf numFmtId="3" fontId="26" fillId="0" borderId="12" xfId="5" applyNumberFormat="1" applyFont="1" applyBorder="1" applyAlignment="1">
      <alignment horizontal="center"/>
    </xf>
    <xf numFmtId="0" fontId="23" fillId="0" borderId="12" xfId="5" applyBorder="1" applyAlignment="1">
      <alignment horizontal="justify" vertical="center" wrapText="1"/>
    </xf>
    <xf numFmtId="42" fontId="23" fillId="0" borderId="12" xfId="5" applyNumberFormat="1" applyBorder="1" applyAlignment="1">
      <alignment horizontal="center" vertical="center"/>
    </xf>
    <xf numFmtId="170" fontId="23" fillId="0" borderId="12" xfId="8" applyNumberFormat="1" applyBorder="1" applyAlignment="1">
      <alignment horizontal="center" vertical="center"/>
    </xf>
    <xf numFmtId="4" fontId="23" fillId="0" borderId="12" xfId="5" applyNumberFormat="1" applyBorder="1" applyAlignment="1">
      <alignment horizontal="center" vertical="center"/>
    </xf>
    <xf numFmtId="0" fontId="26" fillId="0" borderId="14" xfId="5" applyFont="1" applyBorder="1" applyAlignment="1">
      <alignment horizontal="right"/>
    </xf>
    <xf numFmtId="3" fontId="23" fillId="0" borderId="0" xfId="5" applyNumberFormat="1" applyAlignment="1">
      <alignment horizontal="center" vertical="center"/>
    </xf>
    <xf numFmtId="0" fontId="23" fillId="0" borderId="0" xfId="5" applyAlignment="1">
      <alignment horizontal="center" vertical="center"/>
    </xf>
    <xf numFmtId="0" fontId="23" fillId="0" borderId="12" xfId="5" applyBorder="1" applyAlignment="1">
      <alignment horizontal="left"/>
    </xf>
    <xf numFmtId="170" fontId="23" fillId="0" borderId="12" xfId="5" applyNumberFormat="1" applyBorder="1" applyAlignment="1">
      <alignment horizontal="center"/>
    </xf>
    <xf numFmtId="170" fontId="26" fillId="0" borderId="12" xfId="5" applyNumberFormat="1" applyFont="1" applyBorder="1" applyAlignment="1">
      <alignment horizontal="right" vertical="center"/>
    </xf>
    <xf numFmtId="0" fontId="33" fillId="0" borderId="0" xfId="9" applyFont="1"/>
    <xf numFmtId="0" fontId="33" fillId="0" borderId="0" xfId="9" quotePrefix="1" applyFont="1" applyAlignment="1">
      <alignment horizontal="left"/>
    </xf>
    <xf numFmtId="0" fontId="23" fillId="0" borderId="9" xfId="5" quotePrefix="1" applyBorder="1" applyAlignment="1">
      <alignment horizontal="left" vertical="center" wrapText="1"/>
    </xf>
    <xf numFmtId="0" fontId="23" fillId="0" borderId="12" xfId="5" applyBorder="1"/>
    <xf numFmtId="171" fontId="23" fillId="0" borderId="12" xfId="5" applyNumberFormat="1" applyBorder="1" applyAlignment="1">
      <alignment horizontal="center"/>
    </xf>
    <xf numFmtId="0" fontId="23" fillId="0" borderId="12" xfId="0" applyFont="1" applyBorder="1" applyAlignment="1">
      <alignment horizontal="center"/>
    </xf>
    <xf numFmtId="170" fontId="23" fillId="0" borderId="0" xfId="5" applyNumberFormat="1"/>
    <xf numFmtId="172" fontId="23" fillId="0" borderId="0" xfId="5" applyNumberFormat="1"/>
    <xf numFmtId="170" fontId="26" fillId="0" borderId="14" xfId="5" applyNumberFormat="1" applyFont="1" applyBorder="1" applyAlignment="1">
      <alignment horizontal="right"/>
    </xf>
    <xf numFmtId="0" fontId="23" fillId="0" borderId="15" xfId="0" applyFont="1" applyBorder="1"/>
    <xf numFmtId="0" fontId="0" fillId="0" borderId="16" xfId="0" applyBorder="1"/>
    <xf numFmtId="10" fontId="0" fillId="0" borderId="17" xfId="0" applyNumberFormat="1" applyBorder="1"/>
    <xf numFmtId="0" fontId="0" fillId="0" borderId="15" xfId="0" applyBorder="1"/>
    <xf numFmtId="0" fontId="26" fillId="5" borderId="15" xfId="0" applyFont="1" applyFill="1" applyBorder="1"/>
    <xf numFmtId="0" fontId="0" fillId="5" borderId="16" xfId="0" applyFill="1" applyBorder="1"/>
    <xf numFmtId="0" fontId="0" fillId="5" borderId="17" xfId="0" applyFill="1" applyBorder="1"/>
    <xf numFmtId="0" fontId="26" fillId="5" borderId="16" xfId="0" applyFont="1" applyFill="1" applyBorder="1"/>
    <xf numFmtId="0" fontId="26" fillId="5" borderId="17" xfId="0" applyFont="1" applyFill="1" applyBorder="1"/>
    <xf numFmtId="0" fontId="26" fillId="9" borderId="15" xfId="0" applyFont="1" applyFill="1" applyBorder="1"/>
    <xf numFmtId="0" fontId="26" fillId="9" borderId="16" xfId="0" applyFont="1" applyFill="1" applyBorder="1"/>
    <xf numFmtId="10" fontId="26" fillId="9" borderId="17" xfId="0" applyNumberFormat="1" applyFont="1" applyFill="1" applyBorder="1"/>
    <xf numFmtId="0" fontId="23" fillId="0" borderId="18" xfId="5" applyBorder="1"/>
    <xf numFmtId="0" fontId="22" fillId="2" borderId="1" xfId="4" applyAlignment="1">
      <alignment horizontal="center" vertical="center"/>
    </xf>
    <xf numFmtId="0" fontId="26" fillId="9" borderId="17" xfId="0" applyFont="1" applyFill="1" applyBorder="1" applyAlignment="1">
      <alignment horizontal="center" vertical="center"/>
    </xf>
    <xf numFmtId="17" fontId="23" fillId="0" borderId="15" xfId="0" applyNumberFormat="1" applyFont="1" applyBorder="1" applyAlignment="1">
      <alignment horizontal="center"/>
    </xf>
    <xf numFmtId="0" fontId="26" fillId="5" borderId="8" xfId="0" applyFont="1" applyFill="1" applyBorder="1" applyAlignment="1">
      <alignment horizontal="center" vertical="center"/>
    </xf>
    <xf numFmtId="0" fontId="26" fillId="5" borderId="19" xfId="0" applyFont="1" applyFill="1" applyBorder="1" applyAlignment="1">
      <alignment horizontal="center" vertic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26" fillId="9" borderId="21" xfId="0" applyFont="1" applyFill="1" applyBorder="1" applyAlignment="1">
      <alignment horizontal="center" vertical="center"/>
    </xf>
    <xf numFmtId="0" fontId="26" fillId="9" borderId="22" xfId="0" applyFont="1" applyFill="1" applyBorder="1" applyAlignment="1">
      <alignment vertical="center"/>
    </xf>
    <xf numFmtId="42" fontId="0" fillId="0" borderId="22" xfId="0" applyNumberFormat="1" applyBorder="1" applyAlignment="1">
      <alignment vertical="center"/>
    </xf>
    <xf numFmtId="0" fontId="0" fillId="0" borderId="22" xfId="0" applyBorder="1" applyAlignment="1">
      <alignment horizontal="center"/>
    </xf>
    <xf numFmtId="17" fontId="23" fillId="0" borderId="23" xfId="0" applyNumberFormat="1" applyFont="1" applyBorder="1" applyAlignment="1">
      <alignment horizontal="center"/>
    </xf>
    <xf numFmtId="0" fontId="26" fillId="9" borderId="17" xfId="0" applyFont="1" applyFill="1" applyBorder="1" applyAlignment="1">
      <alignment horizontal="left"/>
    </xf>
    <xf numFmtId="0" fontId="26" fillId="5" borderId="20" xfId="0" applyFont="1" applyFill="1" applyBorder="1" applyAlignment="1">
      <alignment horizontal="center" vertical="center"/>
    </xf>
    <xf numFmtId="0" fontId="26" fillId="9" borderId="21" xfId="0" applyFont="1" applyFill="1" applyBorder="1" applyAlignment="1">
      <alignment horizontal="left"/>
    </xf>
    <xf numFmtId="174" fontId="23" fillId="0" borderId="12" xfId="5" applyNumberFormat="1" applyBorder="1" applyAlignment="1">
      <alignment horizontal="center" vertical="center"/>
    </xf>
    <xf numFmtId="0" fontId="22" fillId="2" borderId="12" xfId="4" applyBorder="1" applyAlignment="1">
      <alignment horizontal="center" vertical="center"/>
    </xf>
    <xf numFmtId="3" fontId="22" fillId="0" borderId="12" xfId="4" applyNumberFormat="1" applyFill="1" applyBorder="1" applyAlignment="1">
      <alignment horizontal="center" vertical="center"/>
    </xf>
    <xf numFmtId="0" fontId="45" fillId="0" borderId="0" xfId="38" applyFont="1"/>
    <xf numFmtId="0" fontId="23" fillId="0" borderId="0" xfId="23"/>
    <xf numFmtId="0" fontId="30" fillId="0" borderId="0" xfId="44"/>
    <xf numFmtId="0" fontId="56" fillId="19" borderId="37" xfId="44" applyFont="1" applyFill="1" applyBorder="1" applyAlignment="1">
      <alignment horizontal="center" vertical="center" wrapText="1"/>
    </xf>
    <xf numFmtId="0" fontId="30" fillId="0" borderId="0" xfId="44" applyAlignment="1">
      <alignment wrapText="1"/>
    </xf>
    <xf numFmtId="0" fontId="56" fillId="27" borderId="25" xfId="44" applyFont="1" applyFill="1" applyBorder="1" applyAlignment="1">
      <alignment horizontal="center" vertical="center"/>
    </xf>
    <xf numFmtId="0" fontId="52" fillId="28" borderId="0" xfId="44" applyFont="1" applyFill="1" applyAlignment="1">
      <alignment vertical="center"/>
    </xf>
    <xf numFmtId="178" fontId="57" fillId="27" borderId="0" xfId="46" applyFont="1" applyFill="1" applyBorder="1" applyAlignment="1">
      <alignment horizontal="right" vertical="center"/>
    </xf>
    <xf numFmtId="178" fontId="52" fillId="18" borderId="36" xfId="46" applyFont="1" applyFill="1" applyBorder="1" applyAlignment="1">
      <alignment horizontal="right" vertical="center"/>
    </xf>
    <xf numFmtId="178" fontId="30" fillId="0" borderId="0" xfId="44" applyNumberFormat="1"/>
    <xf numFmtId="178" fontId="57" fillId="30" borderId="6" xfId="46" applyFont="1" applyFill="1" applyBorder="1" applyAlignment="1">
      <alignment horizontal="right" vertical="center"/>
    </xf>
    <xf numFmtId="0" fontId="56" fillId="0" borderId="0" xfId="44" applyFont="1" applyAlignment="1">
      <alignment horizontal="right" vertical="center"/>
    </xf>
    <xf numFmtId="0" fontId="39" fillId="0" borderId="0" xfId="44" applyFont="1"/>
    <xf numFmtId="0" fontId="33" fillId="0" borderId="0" xfId="44" applyFont="1"/>
    <xf numFmtId="0" fontId="33" fillId="0" borderId="0" xfId="44" quotePrefix="1" applyFont="1" applyAlignment="1">
      <alignment horizontal="left"/>
    </xf>
    <xf numFmtId="0" fontId="30" fillId="0" borderId="0" xfId="45" applyFont="1"/>
    <xf numFmtId="0" fontId="56" fillId="27" borderId="24" xfId="45" applyFont="1" applyFill="1" applyBorder="1" applyAlignment="1">
      <alignment horizontal="center" vertical="center"/>
    </xf>
    <xf numFmtId="0" fontId="56" fillId="27" borderId="40" xfId="45" applyFont="1" applyFill="1" applyBorder="1" applyAlignment="1">
      <alignment horizontal="left" vertical="center"/>
    </xf>
    <xf numFmtId="0" fontId="56" fillId="27" borderId="40" xfId="44" applyFont="1" applyFill="1" applyBorder="1" applyAlignment="1">
      <alignment horizontal="center" vertical="center"/>
    </xf>
    <xf numFmtId="0" fontId="56" fillId="27" borderId="57" xfId="44" applyFont="1" applyFill="1" applyBorder="1" applyAlignment="1">
      <alignment horizontal="center" vertical="center"/>
    </xf>
    <xf numFmtId="0" fontId="56" fillId="19" borderId="59" xfId="44" applyFont="1" applyFill="1" applyBorder="1" applyAlignment="1">
      <alignment horizontal="center" vertical="center" wrapText="1"/>
    </xf>
    <xf numFmtId="0" fontId="56" fillId="19" borderId="60" xfId="44" applyFont="1" applyFill="1" applyBorder="1" applyAlignment="1">
      <alignment horizontal="center" vertical="center" wrapText="1"/>
    </xf>
    <xf numFmtId="0" fontId="56" fillId="19" borderId="61" xfId="44" applyFont="1" applyFill="1" applyBorder="1" applyAlignment="1">
      <alignment horizontal="center" vertical="center" wrapText="1"/>
    </xf>
    <xf numFmtId="0" fontId="52" fillId="33" borderId="32" xfId="44" applyFont="1" applyFill="1" applyBorder="1" applyAlignment="1">
      <alignment vertical="center"/>
    </xf>
    <xf numFmtId="10" fontId="52" fillId="33" borderId="32" xfId="44" applyNumberFormat="1" applyFont="1" applyFill="1" applyBorder="1" applyAlignment="1">
      <alignment vertical="center"/>
    </xf>
    <xf numFmtId="178" fontId="51" fillId="27" borderId="0" xfId="46" applyFont="1" applyFill="1" applyBorder="1" applyAlignment="1">
      <alignment horizontal="right" vertical="center"/>
    </xf>
    <xf numFmtId="0" fontId="56" fillId="27" borderId="2" xfId="44" applyFont="1" applyFill="1" applyBorder="1" applyAlignment="1">
      <alignment horizontal="center" vertical="center"/>
    </xf>
    <xf numFmtId="0" fontId="56" fillId="27" borderId="41" xfId="44" applyFont="1" applyFill="1" applyBorder="1" applyAlignment="1">
      <alignment horizontal="left" vertical="center"/>
    </xf>
    <xf numFmtId="178" fontId="52" fillId="34" borderId="27" xfId="46" applyFont="1" applyFill="1" applyBorder="1" applyAlignment="1">
      <alignment horizontal="right" vertical="center"/>
    </xf>
    <xf numFmtId="178" fontId="52" fillId="0" borderId="27" xfId="46" applyFont="1" applyFill="1" applyBorder="1" applyAlignment="1">
      <alignment horizontal="right" vertical="center"/>
    </xf>
    <xf numFmtId="0" fontId="26" fillId="0" borderId="0" xfId="0" applyFont="1" applyAlignment="1">
      <alignment vertical="center" wrapText="1"/>
    </xf>
    <xf numFmtId="0" fontId="31" fillId="0" borderId="0" xfId="38" applyFont="1"/>
    <xf numFmtId="0" fontId="41" fillId="0" borderId="0" xfId="0" applyFont="1" applyAlignment="1">
      <alignment vertical="center" wrapText="1"/>
    </xf>
    <xf numFmtId="0" fontId="59" fillId="0" borderId="0" xfId="38" applyFont="1"/>
    <xf numFmtId="0" fontId="26" fillId="9" borderId="4" xfId="0" applyFont="1" applyFill="1" applyBorder="1" applyAlignment="1">
      <alignment horizontal="left"/>
    </xf>
    <xf numFmtId="0" fontId="23" fillId="0" borderId="4" xfId="0" applyFont="1" applyBorder="1" applyAlignment="1">
      <alignment horizontal="center" vertical="center"/>
    </xf>
    <xf numFmtId="0" fontId="0" fillId="0" borderId="15" xfId="0" applyBorder="1" applyAlignment="1">
      <alignment horizontal="center" vertical="center"/>
    </xf>
    <xf numFmtId="42" fontId="0" fillId="0" borderId="15" xfId="0" applyNumberFormat="1" applyBorder="1" applyAlignment="1">
      <alignment horizontal="center" vertical="center"/>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42" fontId="0" fillId="0" borderId="22" xfId="0" applyNumberFormat="1" applyBorder="1" applyAlignment="1">
      <alignment horizontal="center" vertical="center"/>
    </xf>
    <xf numFmtId="42" fontId="0" fillId="0" borderId="23" xfId="0" applyNumberFormat="1" applyBorder="1" applyAlignment="1">
      <alignment horizontal="center" vertical="center"/>
    </xf>
    <xf numFmtId="0" fontId="44" fillId="37" borderId="66" xfId="50" applyFill="1" applyBorder="1" applyAlignment="1" applyProtection="1">
      <alignment horizontal="center" vertical="center"/>
    </xf>
    <xf numFmtId="0" fontId="61" fillId="37" borderId="67" xfId="50" applyFont="1" applyFill="1" applyBorder="1" applyAlignment="1" applyProtection="1">
      <alignment horizontal="center" vertical="center"/>
    </xf>
    <xf numFmtId="3" fontId="61" fillId="37" borderId="67" xfId="49" applyNumberFormat="1" applyFont="1" applyFill="1" applyBorder="1" applyAlignment="1" applyProtection="1">
      <alignment horizontal="center" vertical="center"/>
    </xf>
    <xf numFmtId="180" fontId="61" fillId="9" borderId="67" xfId="50" applyNumberFormat="1" applyFont="1" applyFill="1" applyBorder="1" applyAlignment="1" applyProtection="1">
      <alignment horizontal="right" vertical="center" wrapText="1"/>
    </xf>
    <xf numFmtId="0" fontId="63" fillId="10" borderId="67" xfId="50" applyFont="1" applyFill="1" applyBorder="1" applyAlignment="1" applyProtection="1">
      <alignment horizontal="left" vertical="center" wrapText="1"/>
    </xf>
    <xf numFmtId="0" fontId="61" fillId="9" borderId="67" xfId="50" applyNumberFormat="1" applyFont="1" applyFill="1" applyBorder="1" applyAlignment="1" applyProtection="1">
      <alignment horizontal="right" vertical="center" wrapText="1"/>
    </xf>
    <xf numFmtId="0" fontId="41" fillId="0" borderId="0" xfId="0" applyFont="1" applyAlignment="1">
      <alignment vertical="center"/>
    </xf>
    <xf numFmtId="178" fontId="52" fillId="28" borderId="0" xfId="44" applyNumberFormat="1" applyFont="1" applyFill="1" applyAlignment="1">
      <alignment vertical="center"/>
    </xf>
    <xf numFmtId="0" fontId="0" fillId="0" borderId="0" xfId="0" applyAlignment="1">
      <alignment horizontal="left"/>
    </xf>
    <xf numFmtId="0" fontId="65" fillId="0" borderId="0" xfId="0" applyFont="1"/>
    <xf numFmtId="0" fontId="66" fillId="0" borderId="0" xfId="0" applyFont="1" applyAlignment="1">
      <alignment horizontal="left"/>
    </xf>
    <xf numFmtId="0" fontId="66" fillId="0" borderId="0" xfId="0" applyFont="1"/>
    <xf numFmtId="0" fontId="66" fillId="0" borderId="0" xfId="0" applyFont="1" applyAlignment="1">
      <alignment horizontal="center" vertical="center"/>
    </xf>
    <xf numFmtId="0" fontId="0" fillId="0" borderId="0" xfId="0" applyAlignment="1">
      <alignment horizontal="center" vertical="center"/>
    </xf>
    <xf numFmtId="0" fontId="22" fillId="0" borderId="1" xfId="4" applyFill="1" applyAlignment="1">
      <alignment horizontal="center" vertical="center"/>
    </xf>
    <xf numFmtId="0" fontId="26" fillId="0" borderId="9" xfId="5" quotePrefix="1" applyFont="1" applyBorder="1" applyAlignment="1">
      <alignment horizontal="left" vertical="center" wrapText="1"/>
    </xf>
    <xf numFmtId="0" fontId="23" fillId="0" borderId="0" xfId="23" applyAlignment="1">
      <alignment horizontal="center" vertical="center"/>
    </xf>
    <xf numFmtId="167" fontId="36" fillId="0" borderId="0" xfId="10" applyNumberFormat="1" applyFont="1" applyFill="1" applyBorder="1" applyAlignment="1">
      <alignment horizontal="center" vertical="center"/>
    </xf>
    <xf numFmtId="167" fontId="38" fillId="0" borderId="0" xfId="10" applyNumberFormat="1" applyFont="1" applyFill="1" applyBorder="1" applyAlignment="1">
      <alignment horizontal="center" vertical="center"/>
    </xf>
    <xf numFmtId="167" fontId="40" fillId="0" borderId="0" xfId="10" applyNumberFormat="1" applyFont="1" applyFill="1" applyBorder="1" applyAlignment="1">
      <alignment horizontal="center" vertical="center"/>
    </xf>
    <xf numFmtId="178" fontId="52" fillId="0" borderId="30" xfId="46" applyFont="1" applyFill="1" applyBorder="1" applyAlignment="1">
      <alignment horizontal="right" vertical="center"/>
    </xf>
    <xf numFmtId="44" fontId="23" fillId="0" borderId="0" xfId="0" applyNumberFormat="1" applyFont="1"/>
    <xf numFmtId="0" fontId="26" fillId="0" borderId="0" xfId="0" applyFont="1" applyAlignment="1">
      <alignment horizontal="left" vertical="center"/>
    </xf>
    <xf numFmtId="0" fontId="0" fillId="0" borderId="0" xfId="0" applyAlignment="1">
      <alignment horizontal="right"/>
    </xf>
    <xf numFmtId="180" fontId="0" fillId="0" borderId="3" xfId="2" applyNumberFormat="1" applyFont="1" applyBorder="1"/>
    <xf numFmtId="0" fontId="0" fillId="0" borderId="3" xfId="2" applyNumberFormat="1" applyFont="1" applyBorder="1" applyAlignment="1">
      <alignment horizontal="center" vertical="center"/>
    </xf>
    <xf numFmtId="0" fontId="26" fillId="9" borderId="21" xfId="0" applyFont="1" applyFill="1" applyBorder="1" applyAlignment="1">
      <alignment horizontal="left" vertical="center" wrapText="1"/>
    </xf>
    <xf numFmtId="0" fontId="26" fillId="9" borderId="17" xfId="0" applyFont="1" applyFill="1" applyBorder="1" applyAlignment="1">
      <alignment horizontal="left" wrapText="1"/>
    </xf>
    <xf numFmtId="180" fontId="61" fillId="0" borderId="67" xfId="50" applyNumberFormat="1" applyFont="1" applyFill="1" applyBorder="1" applyAlignment="1" applyProtection="1">
      <alignment horizontal="center" vertical="center" wrapText="1"/>
    </xf>
    <xf numFmtId="165" fontId="22" fillId="2" borderId="3" xfId="4" applyNumberFormat="1" applyBorder="1"/>
    <xf numFmtId="165" fontId="22" fillId="2" borderId="6" xfId="4" applyNumberFormat="1" applyBorder="1"/>
    <xf numFmtId="0" fontId="23" fillId="6" borderId="3" xfId="0" applyFont="1" applyFill="1" applyBorder="1" applyAlignment="1">
      <alignment horizontal="center" vertical="center"/>
    </xf>
    <xf numFmtId="171" fontId="23" fillId="0" borderId="12" xfId="5" applyNumberFormat="1" applyBorder="1" applyAlignment="1">
      <alignment horizontal="center" vertical="center"/>
    </xf>
    <xf numFmtId="0" fontId="26" fillId="0" borderId="0" xfId="5" quotePrefix="1" applyFont="1" applyAlignment="1">
      <alignment vertical="center"/>
    </xf>
    <xf numFmtId="0" fontId="66" fillId="17" borderId="0" xfId="0" applyFont="1" applyFill="1"/>
    <xf numFmtId="0" fontId="66" fillId="17" borderId="0" xfId="0" applyFont="1" applyFill="1" applyAlignment="1">
      <alignment horizontal="center" vertical="center"/>
    </xf>
    <xf numFmtId="0" fontId="66" fillId="17" borderId="0" xfId="0" applyFont="1" applyFill="1" applyAlignment="1">
      <alignment wrapText="1"/>
    </xf>
    <xf numFmtId="2" fontId="66" fillId="17" borderId="0" xfId="0" applyNumberFormat="1" applyFont="1" applyFill="1" applyAlignment="1">
      <alignment horizontal="center" vertical="center"/>
    </xf>
    <xf numFmtId="0" fontId="42" fillId="9" borderId="33" xfId="0" applyFont="1" applyFill="1" applyBorder="1" applyAlignment="1">
      <alignment horizontal="right"/>
    </xf>
    <xf numFmtId="0" fontId="42" fillId="9" borderId="34" xfId="0" applyFont="1" applyFill="1" applyBorder="1" applyAlignment="1">
      <alignment horizontal="left"/>
    </xf>
    <xf numFmtId="0" fontId="42" fillId="9" borderId="35" xfId="0" applyFont="1" applyFill="1" applyBorder="1" applyAlignment="1">
      <alignment horizontal="right"/>
    </xf>
    <xf numFmtId="0" fontId="42" fillId="9" borderId="68" xfId="0" applyFont="1" applyFill="1" applyBorder="1" applyAlignment="1">
      <alignment horizontal="left"/>
    </xf>
    <xf numFmtId="0" fontId="73" fillId="0" borderId="22" xfId="79" applyBorder="1" applyAlignment="1">
      <alignment horizontal="center"/>
    </xf>
    <xf numFmtId="181" fontId="23" fillId="0" borderId="12" xfId="5" applyNumberFormat="1" applyBorder="1" applyAlignment="1">
      <alignment horizontal="center" vertical="center"/>
    </xf>
    <xf numFmtId="0" fontId="73" fillId="0" borderId="4" xfId="79" applyBorder="1" applyAlignment="1">
      <alignment horizontal="center"/>
    </xf>
    <xf numFmtId="2" fontId="23" fillId="0" borderId="12" xfId="5" applyNumberFormat="1" applyBorder="1" applyAlignment="1">
      <alignment horizontal="center" vertical="center"/>
    </xf>
    <xf numFmtId="0" fontId="23" fillId="0" borderId="0" xfId="5" quotePrefix="1"/>
    <xf numFmtId="3" fontId="26" fillId="0" borderId="12" xfId="5" applyNumberFormat="1" applyFont="1" applyBorder="1" applyAlignment="1">
      <alignment horizontal="center" vertical="center"/>
    </xf>
    <xf numFmtId="0" fontId="23" fillId="9" borderId="6" xfId="23" applyFill="1" applyBorder="1" applyAlignment="1">
      <alignment horizontal="center" vertical="center"/>
    </xf>
    <xf numFmtId="0" fontId="23" fillId="9" borderId="6" xfId="0" applyFont="1" applyFill="1" applyBorder="1" applyAlignment="1">
      <alignment horizontal="center" vertical="center"/>
    </xf>
    <xf numFmtId="0" fontId="56" fillId="11" borderId="24" xfId="44" applyFont="1" applyFill="1" applyBorder="1" applyAlignment="1">
      <alignment horizontal="center" vertical="center"/>
    </xf>
    <xf numFmtId="0" fontId="56" fillId="27" borderId="70" xfId="44" applyFont="1" applyFill="1" applyBorder="1" applyAlignment="1">
      <alignment horizontal="left" vertical="center"/>
    </xf>
    <xf numFmtId="0" fontId="52" fillId="11" borderId="71" xfId="44" applyFont="1" applyFill="1" applyBorder="1" applyAlignment="1">
      <alignment horizontal="center" vertical="center"/>
    </xf>
    <xf numFmtId="178" fontId="52" fillId="11" borderId="71" xfId="46" applyFont="1" applyFill="1" applyBorder="1" applyAlignment="1">
      <alignment horizontal="center" vertical="center"/>
    </xf>
    <xf numFmtId="0" fontId="74" fillId="0" borderId="26" xfId="44" applyFont="1" applyBorder="1" applyAlignment="1">
      <alignment horizontal="center" vertical="center"/>
    </xf>
    <xf numFmtId="0" fontId="74" fillId="0" borderId="27" xfId="44" applyFont="1" applyBorder="1" applyAlignment="1">
      <alignment horizontal="left" vertical="center"/>
    </xf>
    <xf numFmtId="0" fontId="74" fillId="0" borderId="27" xfId="44" applyFont="1" applyBorder="1" applyAlignment="1">
      <alignment horizontal="center" vertical="center"/>
    </xf>
    <xf numFmtId="178" fontId="75" fillId="0" borderId="27" xfId="46" applyFont="1" applyBorder="1" applyAlignment="1">
      <alignment horizontal="right" vertical="center"/>
    </xf>
    <xf numFmtId="0" fontId="74" fillId="28" borderId="29" xfId="44" applyFont="1" applyFill="1" applyBorder="1" applyAlignment="1">
      <alignment horizontal="center" vertical="center" wrapText="1"/>
    </xf>
    <xf numFmtId="0" fontId="74" fillId="28" borderId="31" xfId="44" applyFont="1" applyFill="1" applyBorder="1" applyAlignment="1">
      <alignment horizontal="center" vertical="center" wrapText="1"/>
    </xf>
    <xf numFmtId="0" fontId="74" fillId="0" borderId="32" xfId="44" applyFont="1" applyBorder="1" applyAlignment="1">
      <alignment horizontal="center" vertical="center"/>
    </xf>
    <xf numFmtId="178" fontId="75" fillId="0" borderId="32" xfId="46" applyFont="1" applyBorder="1" applyAlignment="1">
      <alignment horizontal="right" vertical="center"/>
    </xf>
    <xf numFmtId="169" fontId="76" fillId="0" borderId="27" xfId="47" applyNumberFormat="1" applyFont="1" applyBorder="1" applyAlignment="1">
      <alignment horizontal="center" vertical="center" wrapText="1"/>
    </xf>
    <xf numFmtId="0" fontId="76" fillId="0" borderId="32" xfId="44" applyFont="1" applyBorder="1" applyAlignment="1">
      <alignment horizontal="justify" vertical="center" wrapText="1"/>
    </xf>
    <xf numFmtId="169" fontId="76" fillId="0" borderId="32" xfId="47" applyNumberFormat="1" applyFont="1" applyBorder="1" applyAlignment="1">
      <alignment horizontal="center" vertical="center" wrapText="1"/>
    </xf>
    <xf numFmtId="3" fontId="74" fillId="0" borderId="32" xfId="44" applyNumberFormat="1" applyFont="1" applyBorder="1" applyAlignment="1">
      <alignment horizontal="center" vertical="center"/>
    </xf>
    <xf numFmtId="0" fontId="74" fillId="0" borderId="29" xfId="45" applyFont="1" applyBorder="1" applyAlignment="1">
      <alignment horizontal="center" vertical="center"/>
    </xf>
    <xf numFmtId="0" fontId="74" fillId="0" borderId="31" xfId="45" applyFont="1" applyBorder="1" applyAlignment="1">
      <alignment horizontal="center" vertical="center"/>
    </xf>
    <xf numFmtId="178" fontId="74" fillId="0" borderId="32" xfId="46" applyFont="1" applyBorder="1" applyAlignment="1">
      <alignment horizontal="center" vertical="center"/>
    </xf>
    <xf numFmtId="0" fontId="74" fillId="28" borderId="32" xfId="44" applyFont="1" applyFill="1" applyBorder="1" applyAlignment="1">
      <alignment horizontal="left" vertical="center" wrapText="1"/>
    </xf>
    <xf numFmtId="178" fontId="74" fillId="0" borderId="27" xfId="46" applyFont="1" applyBorder="1" applyAlignment="1">
      <alignment horizontal="center" vertical="center"/>
    </xf>
    <xf numFmtId="0" fontId="74" fillId="0" borderId="27" xfId="46" applyNumberFormat="1" applyFont="1" applyBorder="1" applyAlignment="1">
      <alignment horizontal="center" vertical="center"/>
    </xf>
    <xf numFmtId="0" fontId="74" fillId="0" borderId="29" xfId="44" applyFont="1" applyBorder="1" applyAlignment="1">
      <alignment horizontal="center" vertical="center"/>
    </xf>
    <xf numFmtId="0" fontId="74" fillId="0" borderId="31" xfId="44" applyFont="1" applyBorder="1" applyAlignment="1">
      <alignment horizontal="center" vertical="center"/>
    </xf>
    <xf numFmtId="0" fontId="74" fillId="0" borderId="32" xfId="46" applyNumberFormat="1" applyFont="1" applyBorder="1" applyAlignment="1">
      <alignment horizontal="center" vertical="center"/>
    </xf>
    <xf numFmtId="0" fontId="74" fillId="28" borderId="27" xfId="44" applyFont="1" applyFill="1" applyBorder="1" applyAlignment="1">
      <alignment horizontal="left" vertical="center" wrapText="1"/>
    </xf>
    <xf numFmtId="0" fontId="6" fillId="0" borderId="0" xfId="80"/>
    <xf numFmtId="178" fontId="52" fillId="0" borderId="30" xfId="46" applyFont="1" applyBorder="1" applyAlignment="1">
      <alignment horizontal="center" vertical="center"/>
    </xf>
    <xf numFmtId="178" fontId="52" fillId="0" borderId="32" xfId="46" applyFont="1" applyBorder="1" applyAlignment="1">
      <alignment horizontal="center" vertical="center"/>
    </xf>
    <xf numFmtId="178" fontId="52" fillId="29" borderId="32" xfId="46" applyFont="1" applyFill="1" applyBorder="1" applyAlignment="1">
      <alignment horizontal="center" vertical="center"/>
    </xf>
    <xf numFmtId="178" fontId="52" fillId="0" borderId="58" xfId="46" applyFont="1" applyBorder="1" applyAlignment="1">
      <alignment horizontal="center" vertical="center"/>
    </xf>
    <xf numFmtId="178" fontId="51" fillId="0" borderId="27" xfId="46" applyFont="1" applyBorder="1" applyAlignment="1">
      <alignment horizontal="right" vertical="center"/>
    </xf>
    <xf numFmtId="178" fontId="51" fillId="0" borderId="28" xfId="46" applyFont="1" applyBorder="1" applyAlignment="1">
      <alignment horizontal="right" vertical="center"/>
    </xf>
    <xf numFmtId="178" fontId="51" fillId="0" borderId="30" xfId="46" applyFont="1" applyBorder="1" applyAlignment="1">
      <alignment horizontal="right" vertical="center"/>
    </xf>
    <xf numFmtId="178" fontId="51" fillId="0" borderId="32" xfId="46" applyFont="1" applyBorder="1" applyAlignment="1">
      <alignment horizontal="right" vertical="center"/>
    </xf>
    <xf numFmtId="178" fontId="51" fillId="15" borderId="27" xfId="46" applyFont="1" applyFill="1" applyBorder="1" applyAlignment="1">
      <alignment horizontal="right" vertical="center"/>
    </xf>
    <xf numFmtId="178" fontId="30" fillId="0" borderId="27" xfId="46" applyFont="1" applyBorder="1"/>
    <xf numFmtId="178" fontId="30" fillId="0" borderId="28" xfId="46" applyFont="1" applyBorder="1"/>
    <xf numFmtId="178" fontId="52" fillId="0" borderId="27" xfId="46" applyFont="1" applyBorder="1" applyAlignment="1">
      <alignment horizontal="center" vertical="center"/>
    </xf>
    <xf numFmtId="178" fontId="51" fillId="22" borderId="27" xfId="46" applyFont="1" applyFill="1" applyBorder="1" applyAlignment="1">
      <alignment horizontal="right" vertical="center"/>
    </xf>
    <xf numFmtId="178" fontId="51" fillId="22" borderId="30" xfId="46" applyFont="1" applyFill="1" applyBorder="1" applyAlignment="1">
      <alignment horizontal="right" vertical="center"/>
    </xf>
    <xf numFmtId="182" fontId="56" fillId="30" borderId="6" xfId="46" applyNumberFormat="1" applyFont="1" applyFill="1" applyBorder="1" applyAlignment="1">
      <alignment horizontal="right" vertical="center"/>
    </xf>
    <xf numFmtId="0" fontId="49" fillId="0" borderId="0" xfId="0" applyFont="1"/>
    <xf numFmtId="0" fontId="62" fillId="10" borderId="67" xfId="50" applyFont="1" applyFill="1" applyBorder="1" applyAlignment="1" applyProtection="1">
      <alignment horizontal="left" vertical="center" wrapText="1"/>
    </xf>
    <xf numFmtId="0" fontId="62" fillId="10" borderId="67" xfId="50" applyFont="1" applyFill="1" applyBorder="1" applyAlignment="1" applyProtection="1">
      <alignment horizontal="center" vertical="center" wrapText="1"/>
    </xf>
    <xf numFmtId="0" fontId="23" fillId="0" borderId="73" xfId="0" applyFont="1" applyBorder="1" applyAlignment="1">
      <alignment horizontal="center" vertical="center" wrapText="1"/>
    </xf>
    <xf numFmtId="0" fontId="23" fillId="0" borderId="73" xfId="0" applyFont="1" applyBorder="1" applyAlignment="1">
      <alignment horizontal="justify" vertical="center" wrapText="1"/>
    </xf>
    <xf numFmtId="3" fontId="23" fillId="0" borderId="73" xfId="0" applyNumberFormat="1" applyFont="1" applyBorder="1" applyAlignment="1">
      <alignment horizontal="center" vertical="center" wrapText="1"/>
    </xf>
    <xf numFmtId="166" fontId="23" fillId="0" borderId="73" xfId="0" applyNumberFormat="1" applyFont="1" applyBorder="1" applyAlignment="1">
      <alignment horizontal="right" vertical="center" wrapText="1"/>
    </xf>
    <xf numFmtId="0" fontId="0" fillId="0" borderId="73" xfId="0" applyBorder="1" applyAlignment="1">
      <alignment horizontal="center" vertical="center"/>
    </xf>
    <xf numFmtId="0" fontId="0" fillId="0" borderId="73" xfId="0" applyBorder="1"/>
    <xf numFmtId="0" fontId="26" fillId="16" borderId="73" xfId="0" applyFont="1" applyFill="1" applyBorder="1" applyAlignment="1">
      <alignment horizontal="center" vertical="center"/>
    </xf>
    <xf numFmtId="0" fontId="0" fillId="0" borderId="75" xfId="0" applyBorder="1" applyAlignment="1">
      <alignment horizontal="center" vertical="center"/>
    </xf>
    <xf numFmtId="0" fontId="62" fillId="10" borderId="67" xfId="51" applyFont="1" applyFill="1" applyBorder="1" applyAlignment="1">
      <alignment horizontal="center" vertical="center" wrapText="1"/>
    </xf>
    <xf numFmtId="0" fontId="17" fillId="10" borderId="67" xfId="51" applyFill="1" applyBorder="1" applyAlignment="1">
      <alignment horizontal="center" vertical="center" wrapText="1"/>
    </xf>
    <xf numFmtId="0" fontId="4" fillId="10" borderId="67" xfId="50" applyFont="1" applyFill="1" applyBorder="1" applyAlignment="1" applyProtection="1">
      <alignment horizontal="center" vertical="center" wrapText="1"/>
    </xf>
    <xf numFmtId="0" fontId="4" fillId="10" borderId="67" xfId="50" applyFont="1" applyFill="1" applyBorder="1" applyAlignment="1" applyProtection="1">
      <alignment horizontal="left" vertical="center" wrapText="1"/>
    </xf>
    <xf numFmtId="0" fontId="93" fillId="10" borderId="67" xfId="50" applyFont="1" applyFill="1" applyBorder="1" applyAlignment="1" applyProtection="1">
      <alignment horizontal="left" vertical="center" wrapText="1"/>
    </xf>
    <xf numFmtId="0" fontId="69" fillId="0" borderId="73" xfId="0" applyFont="1" applyBorder="1" applyAlignment="1">
      <alignment horizontal="left" vertical="center" wrapText="1" indent="1"/>
    </xf>
    <xf numFmtId="0" fontId="87" fillId="38" borderId="73" xfId="0" applyFont="1" applyFill="1" applyBorder="1" applyAlignment="1">
      <alignment horizontal="center" vertical="center"/>
    </xf>
    <xf numFmtId="0" fontId="87" fillId="38" borderId="48" xfId="0" applyFont="1" applyFill="1" applyBorder="1" applyAlignment="1">
      <alignment horizontal="center" vertical="center"/>
    </xf>
    <xf numFmtId="0" fontId="86" fillId="38" borderId="48" xfId="0" applyFont="1" applyFill="1" applyBorder="1" applyAlignment="1">
      <alignment horizontal="center" vertical="center"/>
    </xf>
    <xf numFmtId="0" fontId="84" fillId="38" borderId="48" xfId="0" applyFont="1" applyFill="1" applyBorder="1" applyAlignment="1">
      <alignment horizontal="center" vertical="center"/>
    </xf>
    <xf numFmtId="0" fontId="85" fillId="0" borderId="73" xfId="0" applyFont="1" applyBorder="1" applyAlignment="1">
      <alignment horizontal="left" vertical="center" wrapText="1"/>
    </xf>
    <xf numFmtId="0" fontId="85" fillId="0" borderId="73" xfId="0" applyFont="1" applyBorder="1" applyAlignment="1">
      <alignment horizontal="center" vertical="center" wrapText="1"/>
    </xf>
    <xf numFmtId="1" fontId="85" fillId="0" borderId="73" xfId="0" applyNumberFormat="1" applyFont="1" applyBorder="1" applyAlignment="1">
      <alignment horizontal="center" vertical="center" wrapText="1"/>
    </xf>
    <xf numFmtId="42" fontId="85" fillId="0" borderId="73" xfId="232" applyFont="1" applyFill="1" applyBorder="1" applyAlignment="1">
      <alignment horizontal="center" vertical="center"/>
    </xf>
    <xf numFmtId="0" fontId="85" fillId="0" borderId="46" xfId="0" applyFont="1" applyBorder="1" applyAlignment="1">
      <alignment horizontal="center" vertical="center" wrapText="1"/>
    </xf>
    <xf numFmtId="1" fontId="85" fillId="0" borderId="46" xfId="0" applyNumberFormat="1" applyFont="1" applyBorder="1" applyAlignment="1">
      <alignment horizontal="center" vertical="center" wrapText="1"/>
    </xf>
    <xf numFmtId="42" fontId="85" fillId="0" borderId="46" xfId="232" applyFont="1" applyFill="1" applyBorder="1" applyAlignment="1">
      <alignment horizontal="center" vertical="center"/>
    </xf>
    <xf numFmtId="42" fontId="85" fillId="0" borderId="46" xfId="0" applyNumberFormat="1" applyFont="1" applyBorder="1" applyAlignment="1">
      <alignment horizontal="center" vertical="center" wrapText="1"/>
    </xf>
    <xf numFmtId="1" fontId="85" fillId="0" borderId="47" xfId="0" applyNumberFormat="1" applyFont="1" applyBorder="1" applyAlignment="1">
      <alignment horizontal="center" vertical="center" wrapText="1"/>
    </xf>
    <xf numFmtId="42" fontId="85" fillId="0" borderId="47" xfId="232" applyFont="1" applyFill="1" applyBorder="1" applyAlignment="1">
      <alignment horizontal="center" vertical="center"/>
    </xf>
    <xf numFmtId="0" fontId="85" fillId="0" borderId="46" xfId="0" applyFont="1" applyBorder="1" applyAlignment="1">
      <alignment horizontal="left" vertical="center" wrapText="1"/>
    </xf>
    <xf numFmtId="42" fontId="70" fillId="0" borderId="73" xfId="232" applyFont="1" applyFill="1" applyBorder="1" applyAlignment="1">
      <alignment horizontal="center" vertical="center" wrapText="1"/>
    </xf>
    <xf numFmtId="0" fontId="85" fillId="0" borderId="48" xfId="0" applyFont="1" applyBorder="1" applyAlignment="1">
      <alignment horizontal="center" vertical="center" wrapText="1"/>
    </xf>
    <xf numFmtId="1" fontId="85" fillId="0" borderId="48" xfId="0" applyNumberFormat="1" applyFont="1" applyBorder="1" applyAlignment="1">
      <alignment horizontal="center" vertical="center" wrapText="1"/>
    </xf>
    <xf numFmtId="0" fontId="85" fillId="0" borderId="6" xfId="0" applyFont="1" applyBorder="1" applyAlignment="1">
      <alignment horizontal="left" vertical="center" wrapText="1"/>
    </xf>
    <xf numFmtId="0" fontId="85" fillId="0" borderId="47" xfId="0" applyFont="1" applyBorder="1" applyAlignment="1">
      <alignment horizontal="center" vertical="center" wrapText="1"/>
    </xf>
    <xf numFmtId="42" fontId="85" fillId="0" borderId="73" xfId="0" applyNumberFormat="1" applyFont="1" applyBorder="1" applyAlignment="1">
      <alignment horizontal="center" vertical="center" wrapText="1"/>
    </xf>
    <xf numFmtId="42" fontId="85" fillId="0" borderId="52" xfId="232" applyFont="1" applyFill="1" applyBorder="1" applyAlignment="1">
      <alignment horizontal="center" vertical="center"/>
    </xf>
    <xf numFmtId="42" fontId="85" fillId="0" borderId="43" xfId="232" applyFont="1" applyFill="1" applyBorder="1" applyAlignment="1">
      <alignment horizontal="center" vertical="center"/>
    </xf>
    <xf numFmtId="42" fontId="85" fillId="0" borderId="74" xfId="232" applyFont="1" applyFill="1" applyBorder="1" applyAlignment="1">
      <alignment horizontal="center" vertical="center"/>
    </xf>
    <xf numFmtId="0" fontId="85" fillId="0" borderId="73" xfId="0" applyFont="1" applyBorder="1" applyAlignment="1">
      <alignment horizontal="left" vertical="center"/>
    </xf>
    <xf numFmtId="42" fontId="85" fillId="0" borderId="77" xfId="232" applyFont="1" applyFill="1" applyBorder="1" applyAlignment="1">
      <alignment horizontal="center" vertical="center"/>
    </xf>
    <xf numFmtId="42" fontId="85" fillId="0" borderId="3" xfId="232" applyFont="1" applyFill="1" applyBorder="1" applyAlignment="1">
      <alignment horizontal="center" vertical="center"/>
    </xf>
    <xf numFmtId="42" fontId="85" fillId="0" borderId="48" xfId="232" applyFont="1" applyFill="1" applyBorder="1" applyAlignment="1">
      <alignment horizontal="center" vertical="center"/>
    </xf>
    <xf numFmtId="42" fontId="85" fillId="0" borderId="73" xfId="232" applyFont="1" applyBorder="1" applyAlignment="1">
      <alignment horizontal="center" vertical="center"/>
    </xf>
    <xf numFmtId="42" fontId="85" fillId="0" borderId="74" xfId="232" applyFont="1" applyBorder="1" applyAlignment="1">
      <alignment horizontal="center" vertical="center"/>
    </xf>
    <xf numFmtId="0" fontId="85" fillId="0" borderId="73" xfId="0" applyFont="1" applyBorder="1" applyAlignment="1">
      <alignment horizontal="center" vertical="center"/>
    </xf>
    <xf numFmtId="42" fontId="85" fillId="0" borderId="46" xfId="232" applyFont="1" applyBorder="1" applyAlignment="1">
      <alignment horizontal="center" vertical="center"/>
    </xf>
    <xf numFmtId="42" fontId="85" fillId="0" borderId="43" xfId="232" applyFont="1" applyBorder="1" applyAlignment="1">
      <alignment horizontal="center" vertical="center"/>
    </xf>
    <xf numFmtId="42" fontId="85" fillId="0" borderId="6" xfId="232" applyFont="1" applyFill="1" applyBorder="1" applyAlignment="1">
      <alignment horizontal="center" vertical="center"/>
    </xf>
    <xf numFmtId="0" fontId="94" fillId="0" borderId="0" xfId="233" applyAlignment="1">
      <alignment horizontal="left" vertical="top"/>
    </xf>
    <xf numFmtId="0" fontId="96" fillId="44" borderId="46" xfId="233" applyFont="1" applyFill="1" applyBorder="1" applyAlignment="1">
      <alignment horizontal="center" vertical="top" wrapText="1"/>
    </xf>
    <xf numFmtId="1" fontId="97" fillId="44" borderId="46" xfId="233" applyNumberFormat="1" applyFont="1" applyFill="1" applyBorder="1" applyAlignment="1">
      <alignment horizontal="center" vertical="top" shrinkToFit="1"/>
    </xf>
    <xf numFmtId="0" fontId="94" fillId="44" borderId="47" xfId="233" applyFill="1" applyBorder="1" applyAlignment="1">
      <alignment horizontal="left" vertical="center" wrapText="1"/>
    </xf>
    <xf numFmtId="0" fontId="94" fillId="0" borderId="47" xfId="233" applyBorder="1" applyAlignment="1">
      <alignment horizontal="left" vertical="center" wrapText="1"/>
    </xf>
    <xf numFmtId="0" fontId="94" fillId="44" borderId="41" xfId="233" applyFill="1" applyBorder="1" applyAlignment="1">
      <alignment horizontal="left" wrapText="1"/>
    </xf>
    <xf numFmtId="0" fontId="99" fillId="0" borderId="46" xfId="233" applyFont="1" applyBorder="1" applyAlignment="1">
      <alignment horizontal="left" vertical="top" wrapText="1"/>
    </xf>
    <xf numFmtId="0" fontId="101" fillId="0" borderId="46" xfId="233" applyFont="1" applyBorder="1" applyAlignment="1">
      <alignment horizontal="center" vertical="top" wrapText="1"/>
    </xf>
    <xf numFmtId="1" fontId="30" fillId="0" borderId="46" xfId="233" applyNumberFormat="1" applyFont="1" applyBorder="1" applyAlignment="1">
      <alignment horizontal="center" vertical="top" shrinkToFit="1"/>
    </xf>
    <xf numFmtId="185" fontId="30" fillId="0" borderId="46" xfId="233" applyNumberFormat="1" applyFont="1" applyBorder="1" applyAlignment="1">
      <alignment horizontal="center" vertical="top" shrinkToFit="1"/>
    </xf>
    <xf numFmtId="185" fontId="103" fillId="0" borderId="46" xfId="233" applyNumberFormat="1" applyFont="1" applyBorder="1" applyAlignment="1">
      <alignment horizontal="center" vertical="top" shrinkToFit="1"/>
    </xf>
    <xf numFmtId="0" fontId="94" fillId="0" borderId="41" xfId="233" applyBorder="1" applyAlignment="1">
      <alignment horizontal="left" wrapText="1"/>
    </xf>
    <xf numFmtId="0" fontId="104" fillId="0" borderId="47" xfId="233" applyFont="1" applyBorder="1" applyAlignment="1">
      <alignment horizontal="center" vertical="top" wrapText="1"/>
    </xf>
    <xf numFmtId="0" fontId="104" fillId="0" borderId="48" xfId="233" applyFont="1" applyBorder="1" applyAlignment="1">
      <alignment horizontal="center" vertical="top" wrapText="1"/>
    </xf>
    <xf numFmtId="0" fontId="99" fillId="0" borderId="47" xfId="233" applyFont="1" applyBorder="1" applyAlignment="1">
      <alignment horizontal="center" vertical="top" wrapText="1"/>
    </xf>
    <xf numFmtId="0" fontId="94" fillId="44" borderId="48" xfId="233" applyFill="1" applyBorder="1" applyAlignment="1">
      <alignment horizontal="left" wrapText="1"/>
    </xf>
    <xf numFmtId="0" fontId="99" fillId="0" borderId="48" xfId="233" applyFont="1" applyBorder="1" applyAlignment="1">
      <alignment horizontal="center" vertical="top" wrapText="1"/>
    </xf>
    <xf numFmtId="0" fontId="94" fillId="0" borderId="48" xfId="233" applyBorder="1" applyAlignment="1">
      <alignment horizontal="left" wrapText="1"/>
    </xf>
    <xf numFmtId="0" fontId="104" fillId="0" borderId="46" xfId="233" applyFont="1" applyBorder="1" applyAlignment="1">
      <alignment horizontal="left" vertical="top" wrapText="1"/>
    </xf>
    <xf numFmtId="0" fontId="104" fillId="0" borderId="46" xfId="233" applyFont="1" applyBorder="1" applyAlignment="1">
      <alignment horizontal="center" vertical="top" wrapText="1"/>
    </xf>
    <xf numFmtId="1" fontId="106" fillId="0" borderId="46" xfId="233" applyNumberFormat="1" applyFont="1" applyBorder="1" applyAlignment="1">
      <alignment horizontal="center" vertical="top" shrinkToFit="1"/>
    </xf>
    <xf numFmtId="185" fontId="106" fillId="0" borderId="46" xfId="233" applyNumberFormat="1" applyFont="1" applyBorder="1" applyAlignment="1">
      <alignment horizontal="center" vertical="top" shrinkToFit="1"/>
    </xf>
    <xf numFmtId="185" fontId="97" fillId="44" borderId="46" xfId="233" applyNumberFormat="1" applyFont="1" applyFill="1" applyBorder="1" applyAlignment="1">
      <alignment horizontal="center" vertical="top" shrinkToFit="1"/>
    </xf>
    <xf numFmtId="185" fontId="97" fillId="45" borderId="46" xfId="233" applyNumberFormat="1" applyFont="1" applyFill="1" applyBorder="1" applyAlignment="1">
      <alignment horizontal="center" vertical="top" shrinkToFit="1"/>
    </xf>
    <xf numFmtId="0" fontId="31" fillId="9" borderId="73" xfId="38" applyFont="1" applyFill="1" applyBorder="1" applyAlignment="1">
      <alignment horizontal="center"/>
    </xf>
    <xf numFmtId="0" fontId="44" fillId="42" borderId="73" xfId="0" applyFont="1" applyFill="1" applyBorder="1" applyAlignment="1">
      <alignment horizontal="center" vertical="center" wrapText="1"/>
    </xf>
    <xf numFmtId="0" fontId="71" fillId="16" borderId="73" xfId="0" applyFont="1" applyFill="1" applyBorder="1" applyAlignment="1">
      <alignment horizontal="center" vertical="center" wrapText="1"/>
    </xf>
    <xf numFmtId="0" fontId="44" fillId="41" borderId="73" xfId="0" applyFont="1" applyFill="1" applyBorder="1" applyAlignment="1">
      <alignment horizontal="center" vertical="center" wrapText="1"/>
    </xf>
    <xf numFmtId="0" fontId="44" fillId="9" borderId="73" xfId="0" applyFont="1" applyFill="1" applyBorder="1" applyAlignment="1">
      <alignment horizontal="center" vertical="center" wrapText="1"/>
    </xf>
    <xf numFmtId="0" fontId="26" fillId="13" borderId="73" xfId="0" applyFont="1" applyFill="1" applyBorder="1"/>
    <xf numFmtId="0" fontId="26" fillId="13" borderId="73" xfId="0" applyFont="1" applyFill="1" applyBorder="1" applyAlignment="1">
      <alignment horizontal="center" vertical="center"/>
    </xf>
    <xf numFmtId="0" fontId="23" fillId="6" borderId="73" xfId="0" applyFont="1" applyFill="1" applyBorder="1" applyAlignment="1">
      <alignment horizontal="center"/>
    </xf>
    <xf numFmtId="0" fontId="23" fillId="6" borderId="73" xfId="0" applyFont="1" applyFill="1" applyBorder="1"/>
    <xf numFmtId="0" fontId="23" fillId="0" borderId="73" xfId="0" applyFont="1" applyBorder="1"/>
    <xf numFmtId="164" fontId="0" fillId="0" borderId="73" xfId="0" applyNumberFormat="1" applyBorder="1"/>
    <xf numFmtId="0" fontId="0" fillId="5" borderId="73" xfId="0" applyFill="1" applyBorder="1"/>
    <xf numFmtId="1" fontId="22" fillId="2" borderId="73" xfId="4" applyNumberFormat="1" applyBorder="1" applyAlignment="1">
      <alignment horizontal="center"/>
    </xf>
    <xf numFmtId="2" fontId="0" fillId="0" borderId="73" xfId="0" applyNumberFormat="1" applyBorder="1" applyAlignment="1">
      <alignment horizontal="center"/>
    </xf>
    <xf numFmtId="0" fontId="0" fillId="0" borderId="73" xfId="0" applyBorder="1" applyAlignment="1">
      <alignment horizontal="center"/>
    </xf>
    <xf numFmtId="3" fontId="23" fillId="0" borderId="73" xfId="5" applyNumberFormat="1" applyBorder="1" applyAlignment="1">
      <alignment horizontal="left"/>
    </xf>
    <xf numFmtId="2" fontId="0" fillId="4" borderId="74" xfId="0" applyNumberFormat="1" applyFill="1" applyBorder="1" applyAlignment="1">
      <alignment horizontal="center" vertical="center"/>
    </xf>
    <xf numFmtId="180" fontId="0" fillId="0" borderId="73" xfId="2" applyNumberFormat="1" applyFont="1" applyBorder="1"/>
    <xf numFmtId="180" fontId="0" fillId="0" borderId="73" xfId="0" applyNumberFormat="1" applyBorder="1"/>
    <xf numFmtId="0" fontId="0" fillId="0" borderId="73" xfId="0" applyBorder="1" applyAlignment="1">
      <alignment horizontal="right"/>
    </xf>
    <xf numFmtId="180" fontId="0" fillId="0" borderId="73" xfId="0" applyNumberFormat="1" applyBorder="1" applyAlignment="1">
      <alignment horizontal="center" vertical="center"/>
    </xf>
    <xf numFmtId="0" fontId="26" fillId="16" borderId="73" xfId="0" applyFont="1" applyFill="1" applyBorder="1" applyAlignment="1">
      <alignment horizontal="center"/>
    </xf>
    <xf numFmtId="44" fontId="0" fillId="0" borderId="73" xfId="2" applyFont="1" applyBorder="1"/>
    <xf numFmtId="0" fontId="0" fillId="0" borderId="73" xfId="2" applyNumberFormat="1" applyFont="1" applyBorder="1" applyAlignment="1">
      <alignment horizontal="center" vertical="center"/>
    </xf>
    <xf numFmtId="0" fontId="26" fillId="0" borderId="73" xfId="0" applyFont="1" applyBorder="1" applyAlignment="1">
      <alignment horizontal="center" vertical="center"/>
    </xf>
    <xf numFmtId="44" fontId="26" fillId="4" borderId="73" xfId="2" applyFont="1" applyFill="1" applyBorder="1" applyAlignment="1">
      <alignment horizontal="center" vertical="center"/>
    </xf>
    <xf numFmtId="0" fontId="69" fillId="0" borderId="73" xfId="0" applyFont="1" applyBorder="1" applyAlignment="1">
      <alignment horizontal="center" vertical="center" wrapText="1"/>
    </xf>
    <xf numFmtId="0" fontId="26" fillId="14" borderId="73" xfId="0" applyFont="1" applyFill="1" applyBorder="1"/>
    <xf numFmtId="0" fontId="26" fillId="14" borderId="73" xfId="0" applyFont="1" applyFill="1" applyBorder="1" applyAlignment="1">
      <alignment horizontal="center" vertical="center"/>
    </xf>
    <xf numFmtId="0" fontId="26" fillId="17" borderId="73" xfId="0" applyFont="1" applyFill="1" applyBorder="1" applyAlignment="1">
      <alignment horizontal="center" vertical="center"/>
    </xf>
    <xf numFmtId="165" fontId="0" fillId="10" borderId="73" xfId="0" applyNumberFormat="1" applyFill="1" applyBorder="1"/>
    <xf numFmtId="165" fontId="22" fillId="10" borderId="73" xfId="4" applyNumberFormat="1" applyFill="1" applyBorder="1"/>
    <xf numFmtId="9" fontId="22" fillId="2" borderId="73" xfId="4" applyNumberFormat="1" applyBorder="1"/>
    <xf numFmtId="0" fontId="23" fillId="0" borderId="73" xfId="0" applyFont="1" applyBorder="1" applyAlignment="1">
      <alignment horizontal="center" vertical="center"/>
    </xf>
    <xf numFmtId="0" fontId="23" fillId="6" borderId="73" xfId="0" applyFont="1" applyFill="1" applyBorder="1" applyAlignment="1">
      <alignment horizontal="center" vertical="center"/>
    </xf>
    <xf numFmtId="0" fontId="23" fillId="6" borderId="73" xfId="0" applyFont="1" applyFill="1" applyBorder="1" applyAlignment="1">
      <alignment horizontal="center" vertical="center" wrapText="1"/>
    </xf>
    <xf numFmtId="165" fontId="0" fillId="0" borderId="73" xfId="0" applyNumberFormat="1" applyBorder="1"/>
    <xf numFmtId="9" fontId="0" fillId="0" borderId="73" xfId="0" applyNumberFormat="1" applyBorder="1"/>
    <xf numFmtId="165" fontId="22" fillId="2" borderId="73" xfId="4" applyNumberFormat="1" applyBorder="1"/>
    <xf numFmtId="0" fontId="27" fillId="0" borderId="73" xfId="6" applyBorder="1"/>
    <xf numFmtId="17" fontId="23" fillId="0" borderId="73" xfId="0" applyNumberFormat="1" applyFont="1" applyBorder="1" applyAlignment="1">
      <alignment horizontal="center"/>
    </xf>
    <xf numFmtId="165" fontId="0" fillId="0" borderId="73" xfId="0" applyNumberFormat="1" applyBorder="1" applyAlignment="1">
      <alignment vertical="center"/>
    </xf>
    <xf numFmtId="17" fontId="27" fillId="0" borderId="73" xfId="6" applyNumberFormat="1" applyBorder="1" applyAlignment="1">
      <alignment horizontal="left"/>
    </xf>
    <xf numFmtId="0" fontId="23" fillId="0" borderId="73" xfId="0" applyFont="1" applyBorder="1" applyAlignment="1">
      <alignment vertical="center"/>
    </xf>
    <xf numFmtId="165" fontId="0" fillId="0" borderId="73" xfId="0" applyNumberFormat="1" applyBorder="1" applyAlignment="1">
      <alignment horizontal="right" vertical="center"/>
    </xf>
    <xf numFmtId="9" fontId="0" fillId="0" borderId="73" xfId="0" applyNumberFormat="1" applyBorder="1" applyAlignment="1">
      <alignment horizontal="right"/>
    </xf>
    <xf numFmtId="0" fontId="3" fillId="0" borderId="73" xfId="0" applyFont="1" applyBorder="1" applyAlignment="1">
      <alignment horizontal="left" vertical="center" wrapText="1"/>
    </xf>
    <xf numFmtId="0" fontId="3" fillId="0" borderId="73" xfId="0" applyFont="1" applyBorder="1" applyAlignment="1">
      <alignment horizontal="center" vertical="center" wrapText="1"/>
    </xf>
    <xf numFmtId="42" fontId="3" fillId="0" borderId="73" xfId="232" applyFont="1" applyFill="1" applyBorder="1" applyAlignment="1">
      <alignment horizontal="center" vertical="center"/>
    </xf>
    <xf numFmtId="42" fontId="3" fillId="0" borderId="73" xfId="0" applyNumberFormat="1" applyFont="1" applyBorder="1" applyAlignment="1">
      <alignment horizontal="center"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42" fontId="3" fillId="0" borderId="74"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center" vertical="center" wrapText="1"/>
    </xf>
    <xf numFmtId="1" fontId="3" fillId="0" borderId="73" xfId="0" applyNumberFormat="1" applyFont="1" applyBorder="1" applyAlignment="1">
      <alignment horizontal="center" vertical="center" wrapText="1"/>
    </xf>
    <xf numFmtId="0" fontId="3" fillId="0" borderId="74" xfId="0" applyFont="1" applyBorder="1" applyAlignment="1">
      <alignment horizontal="left" vertical="center" wrapText="1"/>
    </xf>
    <xf numFmtId="0" fontId="44" fillId="10" borderId="39" xfId="0" applyFont="1" applyFill="1" applyBorder="1" applyAlignment="1">
      <alignment vertical="center"/>
    </xf>
    <xf numFmtId="0" fontId="44" fillId="10" borderId="38" xfId="0" applyFont="1" applyFill="1" applyBorder="1" applyAlignment="1">
      <alignment vertical="center"/>
    </xf>
    <xf numFmtId="42" fontId="44" fillId="38" borderId="54" xfId="0" applyNumberFormat="1" applyFont="1" applyFill="1" applyBorder="1" applyAlignment="1">
      <alignment horizontal="center" vertical="center"/>
    </xf>
    <xf numFmtId="0" fontId="4" fillId="0" borderId="0" xfId="0" applyFont="1"/>
    <xf numFmtId="42" fontId="44" fillId="39" borderId="44" xfId="0" applyNumberFormat="1" applyFont="1" applyFill="1" applyBorder="1" applyAlignment="1">
      <alignment vertical="center" wrapText="1"/>
    </xf>
    <xf numFmtId="0" fontId="29" fillId="0" borderId="73"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vertical="center" wrapText="1"/>
    </xf>
    <xf numFmtId="0" fontId="26" fillId="0" borderId="76" xfId="0" applyFont="1" applyBorder="1" applyAlignment="1">
      <alignment vertical="center" wrapText="1"/>
    </xf>
    <xf numFmtId="166" fontId="26" fillId="0" borderId="76" xfId="0" applyNumberFormat="1" applyFont="1" applyBorder="1" applyAlignment="1">
      <alignment vertical="center" wrapText="1"/>
    </xf>
    <xf numFmtId="166" fontId="26" fillId="0" borderId="75" xfId="0" applyNumberFormat="1" applyFont="1" applyBorder="1" applyAlignment="1">
      <alignment vertical="center" wrapText="1"/>
    </xf>
    <xf numFmtId="0" fontId="26" fillId="0" borderId="74" xfId="0" applyFont="1" applyBorder="1" applyAlignment="1">
      <alignment vertical="center"/>
    </xf>
    <xf numFmtId="0" fontId="26" fillId="0" borderId="74" xfId="0" applyFont="1" applyBorder="1" applyAlignment="1">
      <alignment horizontal="left" vertical="center"/>
    </xf>
    <xf numFmtId="166" fontId="26" fillId="11" borderId="73" xfId="0" applyNumberFormat="1" applyFont="1" applyFill="1" applyBorder="1" applyAlignment="1">
      <alignment horizontal="right" vertical="center"/>
    </xf>
    <xf numFmtId="10" fontId="26" fillId="0" borderId="73" xfId="0" applyNumberFormat="1" applyFont="1" applyBorder="1" applyAlignment="1">
      <alignment horizontal="center" vertical="center"/>
    </xf>
    <xf numFmtId="166" fontId="26" fillId="0" borderId="73" xfId="0" applyNumberFormat="1" applyFont="1" applyBorder="1" applyAlignment="1">
      <alignment horizontal="right" vertical="center"/>
    </xf>
    <xf numFmtId="166" fontId="26" fillId="12" borderId="73" xfId="0" applyNumberFormat="1" applyFont="1" applyFill="1" applyBorder="1" applyAlignment="1">
      <alignment horizontal="right" vertical="center"/>
    </xf>
    <xf numFmtId="10" fontId="26" fillId="0" borderId="73" xfId="7" applyNumberFormat="1" applyFont="1" applyFill="1" applyBorder="1" applyAlignment="1">
      <alignment horizontal="center" vertical="center" wrapText="1"/>
    </xf>
    <xf numFmtId="41" fontId="26" fillId="0" borderId="73" xfId="1" applyFont="1" applyFill="1" applyBorder="1" applyAlignment="1">
      <alignment horizontal="right" vertical="center"/>
    </xf>
    <xf numFmtId="167" fontId="26" fillId="0" borderId="73" xfId="3" applyNumberFormat="1" applyFont="1" applyFill="1" applyBorder="1" applyAlignment="1">
      <alignment horizontal="right" vertical="center"/>
    </xf>
    <xf numFmtId="166" fontId="26" fillId="14" borderId="73" xfId="0" applyNumberFormat="1" applyFont="1" applyFill="1" applyBorder="1" applyAlignment="1">
      <alignment horizontal="right" vertical="center"/>
    </xf>
    <xf numFmtId="166" fontId="26" fillId="21" borderId="73" xfId="0" applyNumberFormat="1" applyFont="1" applyFill="1" applyBorder="1" applyAlignment="1">
      <alignment horizontal="right" vertical="center"/>
    </xf>
    <xf numFmtId="167" fontId="26" fillId="0" borderId="73" xfId="0" applyNumberFormat="1" applyFont="1" applyBorder="1" applyAlignment="1">
      <alignment horizontal="center" vertical="center"/>
    </xf>
    <xf numFmtId="0" fontId="26" fillId="5" borderId="73" xfId="0" applyFont="1" applyFill="1" applyBorder="1" applyAlignment="1">
      <alignment horizontal="right" vertical="center"/>
    </xf>
    <xf numFmtId="0" fontId="26" fillId="15" borderId="73" xfId="0" applyFont="1" applyFill="1" applyBorder="1" applyAlignment="1">
      <alignment horizontal="right" vertical="center"/>
    </xf>
    <xf numFmtId="166" fontId="26" fillId="15" borderId="73" xfId="0" applyNumberFormat="1" applyFont="1" applyFill="1" applyBorder="1" applyAlignment="1">
      <alignment horizontal="right" vertical="center"/>
    </xf>
    <xf numFmtId="166" fontId="26" fillId="15" borderId="75" xfId="0" applyNumberFormat="1" applyFont="1" applyFill="1" applyBorder="1" applyAlignment="1">
      <alignment horizontal="right" vertical="center"/>
    </xf>
    <xf numFmtId="0" fontId="26" fillId="0" borderId="75" xfId="0" applyFont="1" applyBorder="1" applyAlignment="1">
      <alignment vertical="center" wrapText="1"/>
    </xf>
    <xf numFmtId="4" fontId="23" fillId="0" borderId="73" xfId="0" applyNumberFormat="1" applyFont="1" applyBorder="1" applyAlignment="1">
      <alignment horizontal="center" vertical="center" wrapText="1"/>
    </xf>
    <xf numFmtId="0" fontId="23" fillId="0" borderId="74" xfId="0" applyFont="1" applyBorder="1" applyAlignment="1">
      <alignment horizontal="justify" vertical="center" wrapText="1"/>
    </xf>
    <xf numFmtId="0" fontId="26" fillId="0" borderId="74" xfId="0" applyFont="1" applyBorder="1" applyAlignment="1">
      <alignment horizontal="left" vertical="center" wrapText="1"/>
    </xf>
    <xf numFmtId="0" fontId="23" fillId="0" borderId="76" xfId="0" applyFont="1" applyBorder="1" applyAlignment="1">
      <alignment horizontal="center" vertical="center" wrapText="1"/>
    </xf>
    <xf numFmtId="3" fontId="23" fillId="0" borderId="76" xfId="0" applyNumberFormat="1" applyFont="1" applyBorder="1" applyAlignment="1">
      <alignment horizontal="center" vertical="center" wrapText="1"/>
    </xf>
    <xf numFmtId="166" fontId="23" fillId="0" borderId="76" xfId="0" applyNumberFormat="1" applyFont="1" applyBorder="1" applyAlignment="1">
      <alignment horizontal="right" vertical="center" wrapText="1"/>
    </xf>
    <xf numFmtId="166" fontId="23" fillId="0" borderId="75" xfId="0" applyNumberFormat="1" applyFont="1" applyBorder="1" applyAlignment="1">
      <alignment horizontal="right" vertical="center" wrapText="1"/>
    </xf>
    <xf numFmtId="0" fontId="23" fillId="16" borderId="73" xfId="23" applyFill="1" applyBorder="1" applyAlignment="1">
      <alignment vertical="center" wrapText="1"/>
    </xf>
    <xf numFmtId="0" fontId="26" fillId="16" borderId="73" xfId="23" applyFont="1" applyFill="1" applyBorder="1" applyAlignment="1">
      <alignment horizontal="center" vertical="center"/>
    </xf>
    <xf numFmtId="0" fontId="23" fillId="0" borderId="73" xfId="23" applyBorder="1" applyAlignment="1">
      <alignment horizontal="center" vertical="center"/>
    </xf>
    <xf numFmtId="44" fontId="0" fillId="0" borderId="73" xfId="2" applyFont="1" applyBorder="1" applyAlignment="1">
      <alignment vertical="center"/>
    </xf>
    <xf numFmtId="44" fontId="0" fillId="0" borderId="73" xfId="0" applyNumberFormat="1" applyBorder="1" applyAlignment="1">
      <alignment vertical="center"/>
    </xf>
    <xf numFmtId="3" fontId="23" fillId="0" borderId="73" xfId="23" applyNumberFormat="1" applyBorder="1" applyAlignment="1">
      <alignment horizontal="center" vertical="center"/>
    </xf>
    <xf numFmtId="44" fontId="26" fillId="24" borderId="73" xfId="0" applyNumberFormat="1" applyFont="1" applyFill="1" applyBorder="1"/>
    <xf numFmtId="0" fontId="74" fillId="28" borderId="73" xfId="44" applyFont="1" applyFill="1" applyBorder="1" applyAlignment="1">
      <alignment horizontal="left" vertical="center" wrapText="1"/>
    </xf>
    <xf numFmtId="0" fontId="74" fillId="0" borderId="73" xfId="44" applyFont="1" applyBorder="1" applyAlignment="1">
      <alignment horizontal="center" vertical="center"/>
    </xf>
    <xf numFmtId="178" fontId="74" fillId="0" borderId="73" xfId="46" applyFont="1" applyBorder="1" applyAlignment="1">
      <alignment horizontal="center" vertical="center"/>
    </xf>
    <xf numFmtId="178" fontId="52" fillId="29" borderId="73" xfId="46" applyFont="1" applyFill="1" applyBorder="1" applyAlignment="1">
      <alignment horizontal="center" vertical="center"/>
    </xf>
    <xf numFmtId="178" fontId="52" fillId="0" borderId="73" xfId="46" applyFont="1" applyBorder="1" applyAlignment="1">
      <alignment horizontal="center" vertical="center"/>
    </xf>
    <xf numFmtId="178" fontId="75" fillId="0" borderId="73" xfId="46" applyFont="1" applyFill="1" applyBorder="1" applyAlignment="1">
      <alignment horizontal="right" vertical="center"/>
    </xf>
    <xf numFmtId="178" fontId="51" fillId="0" borderId="73" xfId="46" applyFont="1" applyBorder="1" applyAlignment="1">
      <alignment horizontal="right" vertical="center"/>
    </xf>
    <xf numFmtId="178" fontId="52" fillId="15" borderId="73" xfId="46" applyFont="1" applyFill="1" applyBorder="1" applyAlignment="1">
      <alignment horizontal="right" vertical="center"/>
    </xf>
    <xf numFmtId="0" fontId="76" fillId="0" borderId="73" xfId="44" applyFont="1" applyBorder="1" applyAlignment="1">
      <alignment horizontal="justify" vertical="center" wrapText="1"/>
    </xf>
    <xf numFmtId="3" fontId="74" fillId="0" borderId="73" xfId="44" applyNumberFormat="1" applyFont="1" applyBorder="1" applyAlignment="1">
      <alignment horizontal="center" vertical="center"/>
    </xf>
    <xf numFmtId="169" fontId="76" fillId="0" borderId="73" xfId="47" applyNumberFormat="1" applyFont="1" applyBorder="1" applyAlignment="1">
      <alignment horizontal="center" vertical="center" wrapText="1"/>
    </xf>
    <xf numFmtId="178" fontId="51" fillId="15" borderId="73" xfId="46" applyFont="1" applyFill="1" applyBorder="1" applyAlignment="1">
      <alignment horizontal="right" vertical="center"/>
    </xf>
    <xf numFmtId="0" fontId="74" fillId="0" borderId="73" xfId="46" applyNumberFormat="1" applyFont="1" applyBorder="1" applyAlignment="1">
      <alignment horizontal="center" vertical="center"/>
    </xf>
    <xf numFmtId="178" fontId="75" fillId="0" borderId="73" xfId="46" applyFont="1" applyBorder="1" applyAlignment="1">
      <alignment horizontal="right" vertical="center"/>
    </xf>
    <xf numFmtId="178" fontId="51" fillId="22" borderId="73" xfId="46" applyFont="1" applyFill="1" applyBorder="1" applyAlignment="1">
      <alignment horizontal="right" vertical="center"/>
    </xf>
    <xf numFmtId="178" fontId="52" fillId="18" borderId="73" xfId="46" applyFont="1" applyFill="1" applyBorder="1" applyAlignment="1">
      <alignment horizontal="right" vertical="center"/>
    </xf>
    <xf numFmtId="178" fontId="52" fillId="0" borderId="73" xfId="46" applyFont="1" applyFill="1" applyBorder="1" applyAlignment="1">
      <alignment horizontal="right" vertical="center"/>
    </xf>
    <xf numFmtId="178" fontId="52" fillId="35" borderId="73" xfId="46" applyFont="1" applyFill="1" applyBorder="1" applyAlignment="1">
      <alignment horizontal="right" vertical="center"/>
    </xf>
    <xf numFmtId="182" fontId="52" fillId="18" borderId="73" xfId="46" applyNumberFormat="1" applyFont="1" applyFill="1" applyBorder="1" applyAlignment="1">
      <alignment horizontal="right" vertical="center"/>
    </xf>
    <xf numFmtId="0" fontId="52" fillId="28" borderId="73" xfId="44" applyFont="1" applyFill="1" applyBorder="1" applyAlignment="1">
      <alignment vertical="center"/>
    </xf>
    <xf numFmtId="10" fontId="52" fillId="28" borderId="73" xfId="7" applyNumberFormat="1" applyFont="1" applyFill="1" applyBorder="1" applyAlignment="1">
      <alignment vertical="center"/>
    </xf>
    <xf numFmtId="0" fontId="29" fillId="0" borderId="73" xfId="0" applyFont="1" applyBorder="1" applyAlignment="1">
      <alignment horizontal="center" vertical="center" wrapText="1"/>
    </xf>
    <xf numFmtId="0" fontId="23" fillId="0" borderId="38" xfId="0" applyFont="1" applyBorder="1" applyAlignment="1">
      <alignment wrapText="1"/>
    </xf>
    <xf numFmtId="0" fontId="35" fillId="0" borderId="0" xfId="9" applyFont="1" applyFill="1"/>
    <xf numFmtId="167" fontId="35" fillId="0" borderId="0" xfId="9" applyNumberFormat="1" applyFont="1" applyFill="1"/>
    <xf numFmtId="0" fontId="28" fillId="0" borderId="0" xfId="9" applyFont="1" applyFill="1" applyAlignment="1">
      <alignment horizontal="center"/>
    </xf>
    <xf numFmtId="167" fontId="28" fillId="0" borderId="0" xfId="9" applyNumberFormat="1" applyFont="1" applyFill="1" applyAlignment="1">
      <alignment horizontal="center"/>
    </xf>
    <xf numFmtId="0" fontId="35" fillId="0" borderId="0" xfId="9" applyFont="1" applyFill="1" applyAlignment="1">
      <alignment horizontal="center" vertical="center"/>
    </xf>
    <xf numFmtId="0" fontId="35" fillId="0" borderId="0" xfId="9" applyFont="1" applyFill="1" applyAlignment="1">
      <alignment horizontal="center" vertical="center" wrapText="1"/>
    </xf>
    <xf numFmtId="165" fontId="35" fillId="0" borderId="0" xfId="9" applyNumberFormat="1" applyFont="1" applyFill="1" applyAlignment="1">
      <alignment horizontal="center"/>
    </xf>
    <xf numFmtId="165" fontId="35" fillId="0" borderId="0" xfId="9" applyNumberFormat="1" applyFont="1" applyFill="1" applyAlignment="1">
      <alignment horizontal="center" vertical="center"/>
    </xf>
    <xf numFmtId="0" fontId="35" fillId="0" borderId="0" xfId="9" applyFont="1" applyFill="1" applyAlignment="1">
      <alignment horizontal="center"/>
    </xf>
    <xf numFmtId="0" fontId="35" fillId="0" borderId="0" xfId="9" applyFont="1" applyFill="1" applyAlignment="1">
      <alignment horizontal="center" wrapText="1"/>
    </xf>
    <xf numFmtId="2" fontId="35" fillId="0" borderId="0" xfId="9" applyNumberFormat="1" applyFont="1" applyFill="1" applyAlignment="1">
      <alignment horizontal="center" vertical="center"/>
    </xf>
    <xf numFmtId="3" fontId="35" fillId="0" borderId="0" xfId="9" applyNumberFormat="1" applyFont="1" applyFill="1" applyAlignment="1">
      <alignment horizontal="center" vertical="center"/>
    </xf>
    <xf numFmtId="0" fontId="35" fillId="0" borderId="0" xfId="9" applyFont="1" applyFill="1" applyAlignment="1" applyProtection="1">
      <alignment horizontal="center" vertical="center" wrapText="1"/>
      <protection locked="0"/>
    </xf>
    <xf numFmtId="0" fontId="20" fillId="0" borderId="0" xfId="11" applyFill="1" applyAlignment="1">
      <alignment horizontal="center" vertical="center" wrapText="1"/>
    </xf>
    <xf numFmtId="0" fontId="30" fillId="0" borderId="0" xfId="9" applyFont="1" applyFill="1" applyAlignment="1">
      <alignment horizontal="center" vertical="center"/>
    </xf>
    <xf numFmtId="0" fontId="35" fillId="0" borderId="0" xfId="12" applyFont="1" applyFill="1" applyAlignment="1">
      <alignment horizontal="center" wrapText="1"/>
    </xf>
    <xf numFmtId="0" fontId="39" fillId="0" borderId="0" xfId="9" applyFont="1" applyFill="1" applyAlignment="1">
      <alignment horizontal="center" vertical="center"/>
    </xf>
    <xf numFmtId="0" fontId="91" fillId="0" borderId="0" xfId="9" applyFont="1" applyFill="1" applyAlignment="1">
      <alignment horizontal="center" vertical="center"/>
    </xf>
    <xf numFmtId="165" fontId="91" fillId="0" borderId="0" xfId="9" applyNumberFormat="1" applyFont="1" applyFill="1" applyAlignment="1">
      <alignment horizontal="center"/>
    </xf>
    <xf numFmtId="165" fontId="91" fillId="0" borderId="0" xfId="9" applyNumberFormat="1" applyFont="1" applyFill="1" applyAlignment="1">
      <alignment horizontal="center" vertical="center"/>
    </xf>
    <xf numFmtId="170" fontId="23" fillId="0" borderId="12" xfId="5" applyNumberFormat="1" applyFill="1" applyBorder="1" applyAlignment="1">
      <alignment horizontal="justify" vertical="center"/>
    </xf>
    <xf numFmtId="170" fontId="26" fillId="0" borderId="12" xfId="5" applyNumberFormat="1" applyFont="1" applyFill="1" applyBorder="1" applyAlignment="1">
      <alignment horizontal="right"/>
    </xf>
    <xf numFmtId="0" fontId="23" fillId="0" borderId="0" xfId="150"/>
    <xf numFmtId="0" fontId="23" fillId="0" borderId="0" xfId="150" applyAlignment="1">
      <alignment horizontal="left"/>
    </xf>
    <xf numFmtId="0" fontId="29" fillId="0" borderId="0" xfId="150" applyFont="1"/>
    <xf numFmtId="0" fontId="65" fillId="0" borderId="0" xfId="150" applyFont="1"/>
    <xf numFmtId="0" fontId="66" fillId="0" borderId="0" xfId="150" applyFont="1"/>
    <xf numFmtId="0" fontId="66" fillId="0" borderId="0" xfId="150" applyFont="1" applyAlignment="1">
      <alignment horizontal="left"/>
    </xf>
    <xf numFmtId="0" fontId="66" fillId="0" borderId="0" xfId="150" applyFont="1" applyAlignment="1">
      <alignment horizontal="center" vertical="center"/>
    </xf>
    <xf numFmtId="0" fontId="42" fillId="0" borderId="33" xfId="150" applyFont="1" applyBorder="1" applyAlignment="1">
      <alignment horizontal="right"/>
    </xf>
    <xf numFmtId="0" fontId="42" fillId="0" borderId="34" xfId="150" applyFont="1" applyBorder="1" applyAlignment="1">
      <alignment horizontal="left"/>
    </xf>
    <xf numFmtId="0" fontId="42" fillId="0" borderId="35" xfId="150" applyFont="1" applyBorder="1" applyAlignment="1">
      <alignment horizontal="right"/>
    </xf>
    <xf numFmtId="0" fontId="42" fillId="0" borderId="68" xfId="150" applyFont="1" applyBorder="1" applyAlignment="1">
      <alignment horizontal="left"/>
    </xf>
    <xf numFmtId="0" fontId="66" fillId="0" borderId="0" xfId="150" applyFont="1" applyAlignment="1">
      <alignment horizontal="right" vertical="center"/>
    </xf>
    <xf numFmtId="0" fontId="23" fillId="0" borderId="0" xfId="150" applyFont="1"/>
    <xf numFmtId="2" fontId="23" fillId="0" borderId="0" xfId="150" applyNumberFormat="1" applyAlignment="1">
      <alignment horizontal="center" vertical="center"/>
    </xf>
    <xf numFmtId="0" fontId="23" fillId="0" borderId="0" xfId="150" applyFont="1" applyAlignment="1">
      <alignment wrapText="1"/>
    </xf>
    <xf numFmtId="2" fontId="42" fillId="0" borderId="0" xfId="150" applyNumberFormat="1" applyFont="1" applyAlignment="1">
      <alignment horizontal="right"/>
    </xf>
    <xf numFmtId="181" fontId="42" fillId="0" borderId="0" xfId="150" applyNumberFormat="1" applyFont="1" applyAlignment="1">
      <alignment horizontal="right"/>
    </xf>
    <xf numFmtId="0" fontId="26" fillId="0" borderId="0" xfId="150" applyFont="1" applyAlignment="1">
      <alignment horizontal="right"/>
    </xf>
    <xf numFmtId="0" fontId="23" fillId="17" borderId="0" xfId="150" applyFill="1"/>
    <xf numFmtId="0" fontId="29" fillId="17" borderId="0" xfId="150" applyFont="1" applyFill="1"/>
    <xf numFmtId="0" fontId="23" fillId="17" borderId="0" xfId="150" applyFill="1" applyAlignment="1">
      <alignment horizontal="left"/>
    </xf>
    <xf numFmtId="0" fontId="65" fillId="17" borderId="0" xfId="150" applyFont="1" applyFill="1"/>
    <xf numFmtId="0" fontId="66" fillId="17" borderId="0" xfId="150" applyFont="1" applyFill="1"/>
    <xf numFmtId="0" fontId="23" fillId="17" borderId="0" xfId="150" applyFill="1" applyAlignment="1">
      <alignment vertical="center"/>
    </xf>
    <xf numFmtId="0" fontId="66" fillId="17" borderId="0" xfId="150" applyFont="1" applyFill="1" applyAlignment="1">
      <alignment horizontal="center" vertical="center"/>
    </xf>
    <xf numFmtId="0" fontId="66" fillId="17" borderId="0" xfId="150" applyFont="1" applyFill="1" applyAlignment="1">
      <alignment horizontal="right" vertical="center"/>
    </xf>
    <xf numFmtId="0" fontId="23" fillId="17" borderId="0" xfId="150" applyFill="1" applyAlignment="1">
      <alignment horizontal="center" vertical="center"/>
    </xf>
    <xf numFmtId="9" fontId="23" fillId="17" borderId="0" xfId="150" applyNumberFormat="1" applyFill="1" applyAlignment="1">
      <alignment horizontal="center"/>
    </xf>
    <xf numFmtId="0" fontId="66" fillId="17" borderId="73" xfId="150" applyFont="1" applyFill="1" applyBorder="1" applyAlignment="1">
      <alignment horizontal="center" vertical="center"/>
    </xf>
    <xf numFmtId="0" fontId="42" fillId="17" borderId="33" xfId="150" applyFont="1" applyFill="1" applyBorder="1" applyAlignment="1">
      <alignment horizontal="right"/>
    </xf>
    <xf numFmtId="0" fontId="42" fillId="17" borderId="34" xfId="150" applyFont="1" applyFill="1" applyBorder="1" applyAlignment="1">
      <alignment horizontal="left"/>
    </xf>
    <xf numFmtId="0" fontId="42" fillId="17" borderId="35" xfId="150" applyFont="1" applyFill="1" applyBorder="1" applyAlignment="1">
      <alignment horizontal="right"/>
    </xf>
    <xf numFmtId="0" fontId="42" fillId="17" borderId="68" xfId="150" applyFont="1" applyFill="1" applyBorder="1" applyAlignment="1">
      <alignment horizontal="left"/>
    </xf>
    <xf numFmtId="0" fontId="23" fillId="17" borderId="0" xfId="150" applyFont="1" applyFill="1" applyAlignment="1">
      <alignment vertical="center"/>
    </xf>
    <xf numFmtId="0" fontId="42" fillId="17" borderId="0" xfId="150" applyFont="1" applyFill="1" applyAlignment="1">
      <alignment horizontal="right"/>
    </xf>
    <xf numFmtId="0" fontId="42" fillId="17" borderId="0" xfId="150" applyFont="1" applyFill="1" applyAlignment="1">
      <alignment horizontal="left"/>
    </xf>
    <xf numFmtId="0" fontId="47" fillId="17" borderId="0" xfId="150" applyFont="1" applyFill="1"/>
    <xf numFmtId="0" fontId="66" fillId="17" borderId="0" xfId="150" applyFont="1" applyFill="1" applyAlignment="1">
      <alignment wrapText="1"/>
    </xf>
    <xf numFmtId="2" fontId="66" fillId="17" borderId="0" xfId="150" applyNumberFormat="1" applyFont="1" applyFill="1" applyAlignment="1">
      <alignment horizontal="center" vertical="center"/>
    </xf>
    <xf numFmtId="0" fontId="26" fillId="17" borderId="0" xfId="150" applyFont="1" applyFill="1"/>
    <xf numFmtId="0" fontId="23" fillId="17" borderId="0" xfId="150" applyFont="1" applyFill="1"/>
    <xf numFmtId="10" fontId="26" fillId="4" borderId="73" xfId="0" applyNumberFormat="1" applyFont="1" applyFill="1" applyBorder="1" applyAlignment="1">
      <alignment horizontal="center" vertical="center"/>
    </xf>
    <xf numFmtId="0" fontId="44" fillId="0" borderId="73" xfId="0" applyFont="1" applyBorder="1" applyAlignment="1">
      <alignment horizontal="center" vertical="center" wrapText="1"/>
    </xf>
    <xf numFmtId="0" fontId="31" fillId="0" borderId="74" xfId="38" applyFont="1" applyBorder="1" applyAlignment="1">
      <alignment horizontal="center" vertical="center" wrapText="1"/>
    </xf>
    <xf numFmtId="0" fontId="31" fillId="0" borderId="76" xfId="38" applyFont="1" applyBorder="1" applyAlignment="1">
      <alignment horizontal="center" vertical="center" wrapText="1"/>
    </xf>
    <xf numFmtId="0" fontId="31" fillId="0" borderId="75" xfId="38" applyFont="1" applyBorder="1" applyAlignment="1">
      <alignment horizontal="center" vertical="center" wrapText="1"/>
    </xf>
    <xf numFmtId="0" fontId="31" fillId="20" borderId="6" xfId="38" applyFont="1" applyFill="1" applyBorder="1" applyAlignment="1">
      <alignment horizontal="center"/>
    </xf>
    <xf numFmtId="0" fontId="31" fillId="42" borderId="73" xfId="38" applyFont="1" applyFill="1" applyBorder="1" applyAlignment="1">
      <alignment horizontal="center"/>
    </xf>
    <xf numFmtId="0" fontId="26" fillId="16" borderId="73" xfId="38" applyFont="1" applyFill="1" applyBorder="1" applyAlignment="1">
      <alignment horizontal="center"/>
    </xf>
    <xf numFmtId="0" fontId="31" fillId="41" borderId="73" xfId="38" applyFont="1" applyFill="1" applyBorder="1" applyAlignment="1">
      <alignment horizontal="center"/>
    </xf>
    <xf numFmtId="0" fontId="44" fillId="20" borderId="73" xfId="0" applyFont="1" applyFill="1" applyBorder="1" applyAlignment="1">
      <alignment horizontal="center" vertical="center" wrapText="1"/>
    </xf>
    <xf numFmtId="0" fontId="26" fillId="0" borderId="74" xfId="0" applyFont="1" applyBorder="1" applyAlignment="1">
      <alignment horizontal="right" vertical="center"/>
    </xf>
    <xf numFmtId="0" fontId="26" fillId="0" borderId="76" xfId="0" applyFont="1" applyBorder="1" applyAlignment="1">
      <alignment horizontal="right" vertical="center"/>
    </xf>
    <xf numFmtId="0" fontId="26" fillId="0" borderId="75" xfId="0" applyFont="1" applyBorder="1" applyAlignment="1">
      <alignment horizontal="right" vertical="center"/>
    </xf>
    <xf numFmtId="0" fontId="26" fillId="15" borderId="74" xfId="0" applyFont="1" applyFill="1" applyBorder="1" applyAlignment="1">
      <alignment horizontal="right" vertical="center"/>
    </xf>
    <xf numFmtId="0" fontId="26" fillId="15" borderId="76" xfId="0" applyFont="1" applyFill="1" applyBorder="1" applyAlignment="1">
      <alignment horizontal="right" vertical="center"/>
    </xf>
    <xf numFmtId="0" fontId="26" fillId="15" borderId="75" xfId="0" applyFont="1" applyFill="1" applyBorder="1" applyAlignment="1">
      <alignment horizontal="right" vertical="center"/>
    </xf>
    <xf numFmtId="0" fontId="26" fillId="0" borderId="74" xfId="0" applyFont="1" applyBorder="1" applyAlignment="1">
      <alignment horizontal="left" vertical="center"/>
    </xf>
    <xf numFmtId="0" fontId="26" fillId="0" borderId="76" xfId="0" applyFont="1" applyBorder="1" applyAlignment="1">
      <alignment horizontal="left" vertical="center"/>
    </xf>
    <xf numFmtId="0" fontId="26" fillId="0" borderId="75" xfId="0" applyFont="1" applyBorder="1" applyAlignment="1">
      <alignment horizontal="left" vertical="center"/>
    </xf>
    <xf numFmtId="0" fontId="54" fillId="0" borderId="74" xfId="0" applyFont="1" applyBorder="1" applyAlignment="1">
      <alignment horizontal="right" vertical="center"/>
    </xf>
    <xf numFmtId="0" fontId="54" fillId="0" borderId="76" xfId="0" applyFont="1" applyBorder="1" applyAlignment="1">
      <alignment horizontal="right" vertical="center"/>
    </xf>
    <xf numFmtId="0" fontId="54" fillId="0" borderId="75" xfId="0" applyFont="1" applyBorder="1" applyAlignment="1">
      <alignment horizontal="right" vertical="center"/>
    </xf>
    <xf numFmtId="0" fontId="26" fillId="12" borderId="74" xfId="0" applyFont="1" applyFill="1" applyBorder="1" applyAlignment="1">
      <alignment horizontal="right" vertical="center"/>
    </xf>
    <xf numFmtId="0" fontId="26" fillId="12" borderId="76" xfId="0" applyFont="1" applyFill="1" applyBorder="1" applyAlignment="1">
      <alignment horizontal="right" vertical="center"/>
    </xf>
    <xf numFmtId="0" fontId="26" fillId="12" borderId="75" xfId="0" applyFont="1" applyFill="1" applyBorder="1" applyAlignment="1">
      <alignment horizontal="right" vertical="center"/>
    </xf>
    <xf numFmtId="0" fontId="26" fillId="21" borderId="74" xfId="0" applyFont="1" applyFill="1" applyBorder="1" applyAlignment="1">
      <alignment horizontal="right" vertical="center"/>
    </xf>
    <xf numFmtId="0" fontId="26" fillId="21" borderId="76" xfId="0" applyFont="1" applyFill="1" applyBorder="1" applyAlignment="1">
      <alignment horizontal="right" vertical="center"/>
    </xf>
    <xf numFmtId="0" fontId="26" fillId="21" borderId="75" xfId="0" applyFont="1" applyFill="1" applyBorder="1" applyAlignment="1">
      <alignment horizontal="right" vertical="center"/>
    </xf>
    <xf numFmtId="0" fontId="26" fillId="11" borderId="74" xfId="0" applyFont="1" applyFill="1" applyBorder="1" applyAlignment="1">
      <alignment horizontal="right" vertical="center"/>
    </xf>
    <xf numFmtId="0" fontId="26" fillId="11" borderId="76" xfId="0" applyFont="1" applyFill="1" applyBorder="1" applyAlignment="1">
      <alignment horizontal="right" vertical="center"/>
    </xf>
    <xf numFmtId="0" fontId="26" fillId="11" borderId="75" xfId="0" applyFont="1" applyFill="1" applyBorder="1" applyAlignment="1">
      <alignment horizontal="right" vertical="center"/>
    </xf>
    <xf numFmtId="0" fontId="26" fillId="16" borderId="74" xfId="0" quotePrefix="1" applyFont="1" applyFill="1" applyBorder="1" applyAlignment="1">
      <alignment horizontal="center" vertical="center" wrapText="1"/>
    </xf>
    <xf numFmtId="0" fontId="26" fillId="16" borderId="76" xfId="0" applyFont="1" applyFill="1" applyBorder="1" applyAlignment="1">
      <alignment horizontal="center" vertical="center" wrapText="1"/>
    </xf>
    <xf numFmtId="0" fontId="26" fillId="16" borderId="75" xfId="0" applyFont="1" applyFill="1" applyBorder="1" applyAlignment="1">
      <alignment horizontal="center" vertical="center" wrapText="1"/>
    </xf>
    <xf numFmtId="0" fontId="29" fillId="0" borderId="73" xfId="0" applyFont="1" applyBorder="1" applyAlignment="1">
      <alignment horizontal="center" vertical="center" wrapText="1"/>
    </xf>
    <xf numFmtId="0" fontId="29" fillId="9" borderId="74" xfId="0" applyFont="1" applyFill="1" applyBorder="1" applyAlignment="1">
      <alignment horizontal="center" vertical="center" wrapText="1"/>
    </xf>
    <xf numFmtId="0" fontId="29" fillId="9" borderId="76" xfId="0" applyFont="1" applyFill="1" applyBorder="1" applyAlignment="1">
      <alignment horizontal="center" vertical="center" wrapText="1"/>
    </xf>
    <xf numFmtId="0" fontId="29" fillId="9" borderId="75" xfId="0" applyFont="1" applyFill="1" applyBorder="1" applyAlignment="1">
      <alignment horizontal="center" vertical="center" wrapText="1"/>
    </xf>
    <xf numFmtId="0" fontId="29" fillId="5" borderId="74" xfId="0" applyFont="1" applyFill="1" applyBorder="1" applyAlignment="1">
      <alignment horizontal="center" vertical="center" wrapText="1"/>
    </xf>
    <xf numFmtId="0" fontId="29" fillId="5" borderId="76" xfId="0" applyFont="1" applyFill="1" applyBorder="1" applyAlignment="1">
      <alignment horizontal="center" vertical="center" wrapText="1"/>
    </xf>
    <xf numFmtId="0" fontId="29" fillId="5" borderId="75" xfId="0" applyFont="1" applyFill="1" applyBorder="1" applyAlignment="1">
      <alignment horizontal="center" vertical="center" wrapText="1"/>
    </xf>
    <xf numFmtId="0" fontId="26" fillId="0" borderId="73" xfId="0" applyFont="1" applyBorder="1" applyAlignment="1">
      <alignment horizontal="center"/>
    </xf>
    <xf numFmtId="0" fontId="26" fillId="0" borderId="74" xfId="0" applyFont="1" applyBorder="1" applyAlignment="1">
      <alignment horizontal="center"/>
    </xf>
    <xf numFmtId="0" fontId="26" fillId="0" borderId="76" xfId="0" applyFont="1" applyBorder="1" applyAlignment="1">
      <alignment horizontal="center"/>
    </xf>
    <xf numFmtId="0" fontId="26" fillId="0" borderId="75" xfId="0" applyFont="1" applyBorder="1" applyAlignment="1">
      <alignment horizontal="center"/>
    </xf>
    <xf numFmtId="0" fontId="26" fillId="16" borderId="76" xfId="0" quotePrefix="1" applyFont="1" applyFill="1" applyBorder="1" applyAlignment="1">
      <alignment horizontal="center" vertical="center" wrapText="1"/>
    </xf>
    <xf numFmtId="0" fontId="26" fillId="16" borderId="75" xfId="0" quotePrefix="1"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3" xfId="0" applyFont="1" applyBorder="1" applyAlignment="1">
      <alignment horizontal="center" vertical="center" wrapText="1"/>
    </xf>
    <xf numFmtId="0" fontId="26" fillId="8" borderId="15" xfId="0" applyFont="1" applyFill="1" applyBorder="1" applyAlignment="1">
      <alignment horizontal="center"/>
    </xf>
    <xf numFmtId="0" fontId="26" fillId="8" borderId="16" xfId="0" applyFont="1" applyFill="1" applyBorder="1" applyAlignment="1">
      <alignment horizontal="center"/>
    </xf>
    <xf numFmtId="0" fontId="26" fillId="8" borderId="17" xfId="0" applyFont="1" applyFill="1" applyBorder="1" applyAlignment="1">
      <alignment horizontal="center"/>
    </xf>
    <xf numFmtId="0" fontId="26" fillId="5" borderId="15" xfId="0" applyFont="1" applyFill="1" applyBorder="1" applyAlignment="1">
      <alignment horizontal="left"/>
    </xf>
    <xf numFmtId="0" fontId="26" fillId="5" borderId="16" xfId="0" applyFont="1" applyFill="1" applyBorder="1" applyAlignment="1">
      <alignment horizontal="left"/>
    </xf>
    <xf numFmtId="0" fontId="26" fillId="5" borderId="17" xfId="0" applyFont="1" applyFill="1" applyBorder="1" applyAlignment="1">
      <alignment horizontal="left"/>
    </xf>
    <xf numFmtId="0" fontId="23" fillId="17" borderId="0" xfId="150" applyFill="1" applyAlignment="1">
      <alignment horizontal="center" vertical="center"/>
    </xf>
    <xf numFmtId="0" fontId="54" fillId="17" borderId="39" xfId="150" applyFont="1" applyFill="1" applyBorder="1" applyAlignment="1">
      <alignment horizontal="center"/>
    </xf>
    <xf numFmtId="0" fontId="54" fillId="17" borderId="5" xfId="150" applyFont="1" applyFill="1" applyBorder="1" applyAlignment="1">
      <alignment horizontal="center"/>
    </xf>
    <xf numFmtId="0" fontId="23" fillId="17" borderId="0" xfId="150" applyFill="1" applyAlignment="1">
      <alignment horizontal="left" vertical="center"/>
    </xf>
    <xf numFmtId="0" fontId="64" fillId="14" borderId="0" xfId="234" applyFont="1" applyFill="1" applyAlignment="1">
      <alignment horizontal="center" vertical="center" wrapText="1"/>
    </xf>
    <xf numFmtId="0" fontId="26" fillId="16" borderId="0" xfId="150" applyFont="1" applyFill="1" applyAlignment="1">
      <alignment horizontal="center"/>
    </xf>
    <xf numFmtId="0" fontId="54" fillId="0" borderId="39" xfId="150" applyFont="1" applyBorder="1" applyAlignment="1">
      <alignment horizontal="center"/>
    </xf>
    <xf numFmtId="0" fontId="54" fillId="0" borderId="5" xfId="150" applyFont="1" applyBorder="1" applyAlignment="1">
      <alignment horizontal="center"/>
    </xf>
    <xf numFmtId="42" fontId="84" fillId="0" borderId="73" xfId="0" applyNumberFormat="1" applyFont="1" applyBorder="1" applyAlignment="1">
      <alignment horizontal="center" vertical="center"/>
    </xf>
    <xf numFmtId="42" fontId="84" fillId="0" borderId="55" xfId="0" applyNumberFormat="1" applyFont="1" applyBorder="1" applyAlignment="1">
      <alignment horizontal="center" vertical="center"/>
    </xf>
    <xf numFmtId="42" fontId="84" fillId="0" borderId="51" xfId="0" applyNumberFormat="1" applyFont="1" applyBorder="1" applyAlignment="1">
      <alignment horizontal="center" vertical="center"/>
    </xf>
    <xf numFmtId="0" fontId="84" fillId="38" borderId="52" xfId="0" applyFont="1" applyFill="1" applyBorder="1" applyAlignment="1">
      <alignment horizontal="center" vertical="center" wrapText="1"/>
    </xf>
    <xf numFmtId="0" fontId="84" fillId="38" borderId="69" xfId="0" applyFont="1" applyFill="1" applyBorder="1" applyAlignment="1">
      <alignment horizontal="center" vertical="center" wrapText="1"/>
    </xf>
    <xf numFmtId="0" fontId="84" fillId="38" borderId="55" xfId="0" applyFont="1" applyFill="1" applyBorder="1" applyAlignment="1">
      <alignment horizontal="center" vertical="center" wrapText="1"/>
    </xf>
    <xf numFmtId="0" fontId="88" fillId="39" borderId="43" xfId="0" applyFont="1" applyFill="1" applyBorder="1" applyAlignment="1">
      <alignment horizontal="center" vertical="center" wrapText="1"/>
    </xf>
    <xf numFmtId="0" fontId="88" fillId="39" borderId="44" xfId="0" applyFont="1" applyFill="1" applyBorder="1" applyAlignment="1">
      <alignment horizontal="center" vertical="center" wrapText="1"/>
    </xf>
    <xf numFmtId="0" fontId="88" fillId="39" borderId="45" xfId="0" applyFont="1" applyFill="1" applyBorder="1" applyAlignment="1">
      <alignment horizontal="center" vertical="center" wrapText="1"/>
    </xf>
    <xf numFmtId="42" fontId="84" fillId="0" borderId="41" xfId="0" applyNumberFormat="1" applyFont="1" applyBorder="1" applyAlignment="1">
      <alignment horizontal="center" vertical="center"/>
    </xf>
    <xf numFmtId="42" fontId="84" fillId="0" borderId="48" xfId="0" applyNumberFormat="1" applyFont="1" applyBorder="1" applyAlignment="1">
      <alignment horizontal="center" vertical="center"/>
    </xf>
    <xf numFmtId="42" fontId="84" fillId="0" borderId="73" xfId="0" applyNumberFormat="1" applyFont="1" applyBorder="1" applyAlignment="1">
      <alignment horizontal="center" vertical="center" wrapText="1"/>
    </xf>
    <xf numFmtId="0" fontId="84" fillId="0" borderId="73" xfId="0" applyFont="1" applyBorder="1" applyAlignment="1">
      <alignment horizontal="center" vertical="center" wrapText="1"/>
    </xf>
    <xf numFmtId="0" fontId="88" fillId="40" borderId="73" xfId="0" applyFont="1" applyFill="1" applyBorder="1" applyAlignment="1">
      <alignment horizontal="center" vertical="center" wrapText="1"/>
    </xf>
    <xf numFmtId="0" fontId="87" fillId="38" borderId="39" xfId="0" applyFont="1" applyFill="1" applyBorder="1" applyAlignment="1">
      <alignment horizontal="center" vertical="center"/>
    </xf>
    <xf numFmtId="0" fontId="87" fillId="38" borderId="33" xfId="0" applyFont="1" applyFill="1" applyBorder="1" applyAlignment="1">
      <alignment horizontal="center" vertical="center"/>
    </xf>
    <xf numFmtId="0" fontId="87" fillId="38" borderId="52" xfId="0" applyFont="1" applyFill="1" applyBorder="1" applyAlignment="1">
      <alignment horizontal="center" vertical="center"/>
    </xf>
    <xf numFmtId="0" fontId="87" fillId="38" borderId="50" xfId="0" applyFont="1" applyFill="1" applyBorder="1" applyAlignment="1">
      <alignment horizontal="center" vertical="center"/>
    </xf>
    <xf numFmtId="0" fontId="87" fillId="38" borderId="73" xfId="0" applyFont="1" applyFill="1" applyBorder="1" applyAlignment="1">
      <alignment horizontal="center" vertical="center"/>
    </xf>
    <xf numFmtId="42" fontId="84" fillId="0" borderId="53" xfId="0" applyNumberFormat="1" applyFont="1" applyBorder="1" applyAlignment="1">
      <alignment horizontal="center" vertical="center"/>
    </xf>
    <xf numFmtId="42" fontId="84" fillId="0" borderId="54" xfId="0" applyNumberFormat="1" applyFont="1" applyBorder="1" applyAlignment="1">
      <alignment horizontal="center" vertical="center"/>
    </xf>
    <xf numFmtId="0" fontId="44" fillId="38" borderId="38" xfId="0" applyFont="1" applyFill="1" applyBorder="1" applyAlignment="1">
      <alignment horizontal="center" vertical="center"/>
    </xf>
    <xf numFmtId="0" fontId="44" fillId="38" borderId="5" xfId="0" applyFont="1" applyFill="1" applyBorder="1" applyAlignment="1">
      <alignment horizontal="center" vertical="center"/>
    </xf>
    <xf numFmtId="0" fontId="44" fillId="39" borderId="43" xfId="0" applyFont="1" applyFill="1" applyBorder="1" applyAlignment="1">
      <alignment horizontal="center" vertical="center" wrapText="1"/>
    </xf>
    <xf numFmtId="0" fontId="44" fillId="39" borderId="44" xfId="0" applyFont="1" applyFill="1" applyBorder="1" applyAlignment="1">
      <alignment horizontal="center" vertical="center" wrapText="1"/>
    </xf>
    <xf numFmtId="0" fontId="3" fillId="38" borderId="0" xfId="0" applyFont="1" applyFill="1" applyAlignment="1">
      <alignment horizontal="center"/>
    </xf>
    <xf numFmtId="0" fontId="90" fillId="38" borderId="0" xfId="0" applyFont="1" applyFill="1" applyAlignment="1">
      <alignment horizontal="center" vertical="center" wrapText="1"/>
    </xf>
    <xf numFmtId="0" fontId="90" fillId="38" borderId="34" xfId="0" applyFont="1" applyFill="1" applyBorder="1" applyAlignment="1">
      <alignment horizontal="center" vertical="center" wrapText="1"/>
    </xf>
    <xf numFmtId="0" fontId="86" fillId="38" borderId="0" xfId="0" applyFont="1" applyFill="1" applyAlignment="1">
      <alignment horizontal="center" vertical="center"/>
    </xf>
    <xf numFmtId="0" fontId="86" fillId="38" borderId="34" xfId="0" applyFont="1" applyFill="1" applyBorder="1" applyAlignment="1">
      <alignment horizontal="center" vertical="center"/>
    </xf>
    <xf numFmtId="0" fontId="87" fillId="38" borderId="74" xfId="0" applyFont="1" applyFill="1" applyBorder="1" applyAlignment="1">
      <alignment horizontal="center" vertical="center"/>
    </xf>
    <xf numFmtId="0" fontId="87" fillId="38" borderId="76" xfId="0" applyFont="1" applyFill="1" applyBorder="1" applyAlignment="1">
      <alignment horizontal="center" vertical="center"/>
    </xf>
    <xf numFmtId="0" fontId="87" fillId="38" borderId="75" xfId="0" applyFont="1" applyFill="1" applyBorder="1" applyAlignment="1">
      <alignment horizontal="center" vertical="center"/>
    </xf>
    <xf numFmtId="0" fontId="87" fillId="38" borderId="47" xfId="0" applyFont="1" applyFill="1" applyBorder="1" applyAlignment="1">
      <alignment horizontal="center" vertical="center"/>
    </xf>
    <xf numFmtId="0" fontId="87" fillId="38" borderId="41" xfId="0" applyFont="1" applyFill="1" applyBorder="1" applyAlignment="1">
      <alignment horizontal="center" vertical="center"/>
    </xf>
    <xf numFmtId="0" fontId="87" fillId="38" borderId="49" xfId="0" applyFont="1" applyFill="1" applyBorder="1" applyAlignment="1">
      <alignment horizontal="center" vertical="center"/>
    </xf>
    <xf numFmtId="42" fontId="84" fillId="0" borderId="46" xfId="0" applyNumberFormat="1" applyFont="1" applyBorder="1" applyAlignment="1">
      <alignment horizontal="center" vertical="center"/>
    </xf>
    <xf numFmtId="42" fontId="84" fillId="0" borderId="45" xfId="0" applyNumberFormat="1" applyFont="1" applyBorder="1" applyAlignment="1">
      <alignment horizontal="center" vertical="center"/>
    </xf>
    <xf numFmtId="42" fontId="84" fillId="0" borderId="47" xfId="0" applyNumberFormat="1" applyFont="1" applyBorder="1" applyAlignment="1">
      <alignment horizontal="center" vertical="center"/>
    </xf>
    <xf numFmtId="0" fontId="84" fillId="38" borderId="50" xfId="0" applyFont="1" applyFill="1" applyBorder="1" applyAlignment="1">
      <alignment horizontal="center" vertical="center" wrapText="1"/>
    </xf>
    <xf numFmtId="0" fontId="84" fillId="38" borderId="0" xfId="0" applyFont="1" applyFill="1" applyAlignment="1">
      <alignment horizontal="center" vertical="center" wrapText="1"/>
    </xf>
    <xf numFmtId="0" fontId="94" fillId="0" borderId="52" xfId="233" applyBorder="1" applyAlignment="1">
      <alignment horizontal="left" vertical="top" wrapText="1"/>
    </xf>
    <xf numFmtId="0" fontId="94" fillId="0" borderId="69" xfId="233" applyBorder="1" applyAlignment="1">
      <alignment horizontal="left" vertical="top" wrapText="1"/>
    </xf>
    <xf numFmtId="0" fontId="94" fillId="0" borderId="55" xfId="233" applyBorder="1" applyAlignment="1">
      <alignment horizontal="left" vertical="top" wrapText="1"/>
    </xf>
    <xf numFmtId="0" fontId="94" fillId="0" borderId="49" xfId="233" applyBorder="1" applyAlignment="1">
      <alignment horizontal="left" vertical="top" wrapText="1"/>
    </xf>
    <xf numFmtId="0" fontId="94" fillId="0" borderId="42" xfId="233" applyBorder="1" applyAlignment="1">
      <alignment horizontal="left" vertical="top" wrapText="1"/>
    </xf>
    <xf numFmtId="0" fontId="94" fillId="0" borderId="54" xfId="233" applyBorder="1" applyAlignment="1">
      <alignment horizontal="left" vertical="top" wrapText="1"/>
    </xf>
    <xf numFmtId="0" fontId="96" fillId="44" borderId="43" xfId="233" applyFont="1" applyFill="1" applyBorder="1" applyAlignment="1">
      <alignment horizontal="center" vertical="top" wrapText="1"/>
    </xf>
    <xf numFmtId="0" fontId="96" fillId="44" borderId="45" xfId="233" applyFont="1" applyFill="1" applyBorder="1" applyAlignment="1">
      <alignment horizontal="center" vertical="top" wrapText="1"/>
    </xf>
    <xf numFmtId="0" fontId="96" fillId="45" borderId="43" xfId="233" applyFont="1" applyFill="1" applyBorder="1" applyAlignment="1">
      <alignment horizontal="left" vertical="top" wrapText="1" indent="6"/>
    </xf>
    <xf numFmtId="0" fontId="96" fillId="45" borderId="45" xfId="233" applyFont="1" applyFill="1" applyBorder="1" applyAlignment="1">
      <alignment horizontal="left" vertical="top" wrapText="1" indent="6"/>
    </xf>
    <xf numFmtId="185" fontId="97" fillId="0" borderId="47" xfId="233" applyNumberFormat="1" applyFont="1" applyBorder="1" applyAlignment="1">
      <alignment horizontal="left" vertical="top" shrinkToFit="1"/>
    </xf>
    <xf numFmtId="185" fontId="97" fillId="0" borderId="41" xfId="233" applyNumberFormat="1" applyFont="1" applyBorder="1" applyAlignment="1">
      <alignment horizontal="left" vertical="top" shrinkToFit="1"/>
    </xf>
    <xf numFmtId="185" fontId="97" fillId="0" borderId="48" xfId="233" applyNumberFormat="1" applyFont="1" applyBorder="1" applyAlignment="1">
      <alignment horizontal="left" vertical="top" shrinkToFit="1"/>
    </xf>
    <xf numFmtId="0" fontId="105" fillId="45" borderId="43" xfId="233" applyFont="1" applyFill="1" applyBorder="1" applyAlignment="1">
      <alignment horizontal="center" vertical="top" wrapText="1"/>
    </xf>
    <xf numFmtId="0" fontId="105" fillId="45" borderId="44" xfId="233" applyFont="1" applyFill="1" applyBorder="1" applyAlignment="1">
      <alignment horizontal="center" vertical="top" wrapText="1"/>
    </xf>
    <xf numFmtId="0" fontId="105" fillId="45" borderId="45" xfId="233" applyFont="1" applyFill="1" applyBorder="1" applyAlignment="1">
      <alignment horizontal="center" vertical="top" wrapText="1"/>
    </xf>
    <xf numFmtId="1" fontId="97" fillId="44" borderId="41" xfId="233" applyNumberFormat="1" applyFont="1" applyFill="1" applyBorder="1" applyAlignment="1">
      <alignment horizontal="center" vertical="top" shrinkToFit="1"/>
    </xf>
    <xf numFmtId="0" fontId="104" fillId="0" borderId="47" xfId="233" applyFont="1" applyBorder="1" applyAlignment="1">
      <alignment horizontal="left" vertical="top" wrapText="1"/>
    </xf>
    <xf numFmtId="0" fontId="104" fillId="0" borderId="48" xfId="233" applyFont="1" applyBorder="1" applyAlignment="1">
      <alignment horizontal="left" vertical="top" wrapText="1"/>
    </xf>
    <xf numFmtId="0" fontId="94" fillId="0" borderId="47" xfId="233" applyBorder="1" applyAlignment="1">
      <alignment horizontal="left" vertical="center" wrapText="1"/>
    </xf>
    <xf numFmtId="0" fontId="94" fillId="0" borderId="48" xfId="233" applyBorder="1" applyAlignment="1">
      <alignment horizontal="left" vertical="center" wrapText="1"/>
    </xf>
    <xf numFmtId="1" fontId="97" fillId="44" borderId="47" xfId="233" applyNumberFormat="1" applyFont="1" applyFill="1" applyBorder="1" applyAlignment="1">
      <alignment horizontal="center" vertical="top" shrinkToFit="1"/>
    </xf>
    <xf numFmtId="1" fontId="97" fillId="44" borderId="48" xfId="233" applyNumberFormat="1" applyFont="1" applyFill="1" applyBorder="1" applyAlignment="1">
      <alignment horizontal="center" vertical="top" shrinkToFit="1"/>
    </xf>
    <xf numFmtId="185" fontId="97" fillId="0" borderId="41" xfId="233" applyNumberFormat="1" applyFont="1" applyBorder="1" applyAlignment="1">
      <alignment horizontal="left" vertical="top" indent="1" shrinkToFit="1"/>
    </xf>
    <xf numFmtId="0" fontId="99" fillId="0" borderId="47" xfId="233" applyFont="1" applyBorder="1" applyAlignment="1">
      <alignment horizontal="left" vertical="top" wrapText="1"/>
    </xf>
    <xf numFmtId="0" fontId="99" fillId="0" borderId="48" xfId="233" applyFont="1" applyBorder="1" applyAlignment="1">
      <alignment horizontal="left" vertical="top" wrapText="1"/>
    </xf>
    <xf numFmtId="1" fontId="97" fillId="44" borderId="41" xfId="233" applyNumberFormat="1" applyFont="1" applyFill="1" applyBorder="1" applyAlignment="1">
      <alignment horizontal="center" vertical="center" shrinkToFit="1"/>
    </xf>
    <xf numFmtId="185" fontId="97" fillId="0" borderId="41" xfId="233" applyNumberFormat="1" applyFont="1" applyBorder="1" applyAlignment="1">
      <alignment horizontal="left" vertical="center" shrinkToFit="1"/>
    </xf>
    <xf numFmtId="0" fontId="94" fillId="44" borderId="47" xfId="233" applyFill="1" applyBorder="1" applyAlignment="1">
      <alignment horizontal="left" vertical="top" wrapText="1"/>
    </xf>
    <xf numFmtId="0" fontId="94" fillId="44" borderId="48" xfId="233" applyFill="1" applyBorder="1" applyAlignment="1">
      <alignment horizontal="left" vertical="top" wrapText="1"/>
    </xf>
    <xf numFmtId="0" fontId="95" fillId="44" borderId="43" xfId="233" applyFont="1" applyFill="1" applyBorder="1" applyAlignment="1">
      <alignment horizontal="left" vertical="top" wrapText="1" indent="4"/>
    </xf>
    <xf numFmtId="0" fontId="95" fillId="44" borderId="44" xfId="233" applyFont="1" applyFill="1" applyBorder="1" applyAlignment="1">
      <alignment horizontal="left" vertical="top" wrapText="1" indent="4"/>
    </xf>
    <xf numFmtId="0" fontId="95" fillId="44" borderId="45" xfId="233" applyFont="1" applyFill="1" applyBorder="1" applyAlignment="1">
      <alignment horizontal="left" vertical="top" wrapText="1" indent="4"/>
    </xf>
    <xf numFmtId="0" fontId="96" fillId="44" borderId="44" xfId="233" applyFont="1" applyFill="1" applyBorder="1" applyAlignment="1">
      <alignment horizontal="center" vertical="top" wrapText="1"/>
    </xf>
    <xf numFmtId="0" fontId="98" fillId="45" borderId="43" xfId="233" applyFont="1" applyFill="1" applyBorder="1" applyAlignment="1">
      <alignment horizontal="center" vertical="top" wrapText="1"/>
    </xf>
    <xf numFmtId="0" fontId="98" fillId="45" borderId="44" xfId="233" applyFont="1" applyFill="1" applyBorder="1" applyAlignment="1">
      <alignment horizontal="center" vertical="top" wrapText="1"/>
    </xf>
    <xf numFmtId="0" fontId="98" fillId="45" borderId="45" xfId="233" applyFont="1" applyFill="1" applyBorder="1" applyAlignment="1">
      <alignment horizontal="center" vertical="top" wrapText="1"/>
    </xf>
    <xf numFmtId="0" fontId="26" fillId="14" borderId="74" xfId="0" applyFont="1" applyFill="1" applyBorder="1" applyAlignment="1">
      <alignment horizontal="right" vertical="center"/>
    </xf>
    <xf numFmtId="0" fontId="26" fillId="14" borderId="76" xfId="0" applyFont="1" applyFill="1" applyBorder="1" applyAlignment="1">
      <alignment horizontal="right" vertical="center"/>
    </xf>
    <xf numFmtId="0" fontId="26" fillId="14" borderId="75" xfId="0" applyFont="1" applyFill="1" applyBorder="1" applyAlignment="1">
      <alignment horizontal="right" vertical="center"/>
    </xf>
    <xf numFmtId="0" fontId="32" fillId="0" borderId="0" xfId="5" applyFont="1" applyAlignment="1">
      <alignment horizontal="center" vertical="center" wrapText="1"/>
    </xf>
    <xf numFmtId="0" fontId="26" fillId="0" borderId="9" xfId="5" applyFont="1" applyBorder="1" applyAlignment="1">
      <alignment horizontal="justify" vertical="center" wrapText="1"/>
    </xf>
    <xf numFmtId="0" fontId="26" fillId="0" borderId="10" xfId="5" quotePrefix="1" applyFont="1" applyBorder="1" applyAlignment="1">
      <alignment horizontal="justify" vertical="center" wrapText="1"/>
    </xf>
    <xf numFmtId="0" fontId="26" fillId="0" borderId="11" xfId="5" quotePrefix="1" applyFont="1" applyBorder="1" applyAlignment="1">
      <alignment horizontal="justify" vertical="center" wrapText="1"/>
    </xf>
    <xf numFmtId="0" fontId="26" fillId="0" borderId="9" xfId="5" applyFont="1" applyBorder="1" applyAlignment="1">
      <alignment horizontal="right" wrapText="1"/>
    </xf>
    <xf numFmtId="0" fontId="26" fillId="0" borderId="11" xfId="5" applyFont="1" applyBorder="1" applyAlignment="1">
      <alignment horizontal="right" wrapText="1"/>
    </xf>
    <xf numFmtId="0" fontId="26" fillId="0" borderId="10" xfId="5" applyFont="1" applyBorder="1" applyAlignment="1">
      <alignment horizontal="right" wrapText="1"/>
    </xf>
    <xf numFmtId="0" fontId="26" fillId="0" borderId="10" xfId="5" applyFont="1" applyBorder="1" applyAlignment="1">
      <alignment horizontal="justify" vertical="center" wrapText="1"/>
    </xf>
    <xf numFmtId="0" fontId="26" fillId="0" borderId="11" xfId="5" applyFont="1" applyBorder="1" applyAlignment="1">
      <alignment horizontal="justify" vertical="center" wrapText="1"/>
    </xf>
    <xf numFmtId="0" fontId="26" fillId="0" borderId="9" xfId="5" applyFont="1" applyBorder="1" applyAlignment="1">
      <alignment horizontal="justify" vertical="center"/>
    </xf>
    <xf numFmtId="0" fontId="26" fillId="0" borderId="10" xfId="5" applyFont="1" applyBorder="1" applyAlignment="1">
      <alignment horizontal="justify" vertical="center"/>
    </xf>
    <xf numFmtId="0" fontId="26" fillId="0" borderId="11" xfId="5" applyFont="1" applyBorder="1" applyAlignment="1">
      <alignment horizontal="justify" vertical="center"/>
    </xf>
    <xf numFmtId="0" fontId="54" fillId="9" borderId="39" xfId="0" applyFont="1" applyFill="1" applyBorder="1" applyAlignment="1">
      <alignment horizontal="center"/>
    </xf>
    <xf numFmtId="0" fontId="54" fillId="9" borderId="5" xfId="0" applyFont="1" applyFill="1" applyBorder="1" applyAlignment="1">
      <alignment horizontal="center"/>
    </xf>
    <xf numFmtId="0" fontId="0" fillId="0" borderId="6" xfId="0" applyBorder="1" applyAlignment="1">
      <alignment horizontal="center" vertical="center" wrapText="1"/>
    </xf>
    <xf numFmtId="0" fontId="0" fillId="0" borderId="56" xfId="0" applyBorder="1" applyAlignment="1">
      <alignment horizontal="center" vertical="center" wrapText="1"/>
    </xf>
    <xf numFmtId="0" fontId="0" fillId="0" borderId="3" xfId="0" applyBorder="1" applyAlignment="1">
      <alignment horizontal="center" vertical="center" wrapText="1"/>
    </xf>
    <xf numFmtId="0" fontId="26" fillId="16" borderId="74" xfId="0" applyFont="1" applyFill="1" applyBorder="1" applyAlignment="1">
      <alignment horizontal="center" vertical="center"/>
    </xf>
    <xf numFmtId="0" fontId="26" fillId="16" borderId="76" xfId="0" applyFont="1" applyFill="1" applyBorder="1" applyAlignment="1">
      <alignment horizontal="center" vertical="center"/>
    </xf>
    <xf numFmtId="0" fontId="23" fillId="0" borderId="7" xfId="0" applyFont="1" applyBorder="1" applyAlignment="1">
      <alignment horizontal="center" vertical="center" wrapText="1"/>
    </xf>
    <xf numFmtId="0" fontId="60" fillId="37" borderId="63" xfId="50" applyFont="1" applyFill="1" applyBorder="1" applyAlignment="1" applyProtection="1">
      <alignment horizontal="center" vertical="center"/>
    </xf>
    <xf numFmtId="0" fontId="60" fillId="37" borderId="64" xfId="50" applyFont="1" applyFill="1" applyBorder="1" applyAlignment="1" applyProtection="1">
      <alignment horizontal="center" vertical="center"/>
    </xf>
    <xf numFmtId="0" fontId="60" fillId="37" borderId="65" xfId="50" applyFont="1" applyFill="1" applyBorder="1" applyAlignment="1" applyProtection="1">
      <alignment horizontal="center" vertical="center"/>
    </xf>
    <xf numFmtId="0" fontId="26" fillId="16" borderId="75" xfId="0" applyFont="1" applyFill="1" applyBorder="1" applyAlignment="1">
      <alignment horizontal="center" vertical="center"/>
    </xf>
    <xf numFmtId="0" fontId="23" fillId="0" borderId="0" xfId="0" applyFont="1" applyAlignment="1">
      <alignment horizontal="left" wrapText="1"/>
    </xf>
    <xf numFmtId="0" fontId="26" fillId="16" borderId="74" xfId="0" applyFont="1" applyFill="1" applyBorder="1" applyAlignment="1">
      <alignment horizontal="center"/>
    </xf>
    <xf numFmtId="0" fontId="26" fillId="16" borderId="75" xfId="0" applyFont="1" applyFill="1" applyBorder="1" applyAlignment="1">
      <alignment horizontal="center"/>
    </xf>
    <xf numFmtId="0" fontId="26" fillId="8" borderId="4" xfId="0" applyFont="1" applyFill="1" applyBorder="1" applyAlignment="1">
      <alignment horizontal="center"/>
    </xf>
    <xf numFmtId="0" fontId="34" fillId="0" borderId="0" xfId="9" applyFont="1" applyFill="1" applyAlignment="1">
      <alignment horizontal="center" vertical="center" wrapText="1"/>
    </xf>
    <xf numFmtId="0" fontId="28" fillId="0" borderId="0" xfId="9" applyFont="1" applyFill="1" applyAlignment="1">
      <alignment horizontal="center"/>
    </xf>
    <xf numFmtId="0" fontId="23" fillId="23" borderId="74" xfId="23" applyFill="1" applyBorder="1" applyAlignment="1">
      <alignment horizontal="center" wrapText="1"/>
    </xf>
    <xf numFmtId="0" fontId="23" fillId="23" borderId="75" xfId="23" applyFill="1" applyBorder="1" applyAlignment="1">
      <alignment horizontal="center" wrapText="1"/>
    </xf>
    <xf numFmtId="0" fontId="23" fillId="23" borderId="73" xfId="23" applyFill="1" applyBorder="1" applyAlignment="1">
      <alignment horizontal="center" vertical="center"/>
    </xf>
    <xf numFmtId="0" fontId="23" fillId="0" borderId="73" xfId="23" applyBorder="1" applyAlignment="1">
      <alignment horizontal="center"/>
    </xf>
    <xf numFmtId="0" fontId="23" fillId="6" borderId="73" xfId="0" applyFont="1" applyFill="1" applyBorder="1" applyAlignment="1">
      <alignment horizontal="center"/>
    </xf>
    <xf numFmtId="0" fontId="23" fillId="3" borderId="73" xfId="0" applyFont="1" applyFill="1" applyBorder="1" applyAlignment="1">
      <alignment horizontal="center" wrapText="1"/>
    </xf>
    <xf numFmtId="0" fontId="23" fillId="4" borderId="73" xfId="0" applyFont="1" applyFill="1" applyBorder="1" applyAlignment="1">
      <alignment horizontal="center"/>
    </xf>
    <xf numFmtId="0" fontId="23" fillId="5" borderId="73" xfId="0" applyFont="1" applyFill="1" applyBorder="1" applyAlignment="1">
      <alignment horizontal="center"/>
    </xf>
    <xf numFmtId="0" fontId="23" fillId="4" borderId="2" xfId="0" applyFont="1" applyFill="1" applyBorder="1" applyAlignment="1">
      <alignment horizontal="center"/>
    </xf>
    <xf numFmtId="0" fontId="23" fillId="4" borderId="0" xfId="0" applyFont="1" applyFill="1" applyAlignment="1">
      <alignment horizontal="center"/>
    </xf>
    <xf numFmtId="0" fontId="26" fillId="8" borderId="7" xfId="0" applyFont="1" applyFill="1" applyBorder="1" applyAlignment="1">
      <alignment horizontal="center"/>
    </xf>
    <xf numFmtId="0" fontId="26" fillId="8" borderId="8" xfId="0" applyFont="1" applyFill="1" applyBorder="1" applyAlignment="1">
      <alignment horizontal="center"/>
    </xf>
    <xf numFmtId="0" fontId="28" fillId="0" borderId="0" xfId="0" applyFont="1" applyAlignment="1">
      <alignment horizontal="center" wrapText="1"/>
    </xf>
    <xf numFmtId="0" fontId="26" fillId="4" borderId="73" xfId="0" applyFont="1" applyFill="1" applyBorder="1" applyAlignment="1">
      <alignment horizontal="center"/>
    </xf>
    <xf numFmtId="0" fontId="50" fillId="18" borderId="29" xfId="44" applyFont="1" applyFill="1" applyBorder="1" applyAlignment="1">
      <alignment horizontal="right" vertical="center"/>
    </xf>
    <xf numFmtId="0" fontId="39" fillId="0" borderId="73" xfId="44" applyFont="1" applyBorder="1"/>
    <xf numFmtId="0" fontId="55" fillId="25" borderId="2" xfId="44" applyFont="1" applyFill="1" applyBorder="1" applyAlignment="1">
      <alignment horizontal="center" vertical="center" wrapText="1"/>
    </xf>
    <xf numFmtId="0" fontId="55" fillId="25" borderId="0" xfId="44" applyFont="1" applyFill="1" applyAlignment="1">
      <alignment horizontal="center" vertical="center" wrapText="1"/>
    </xf>
    <xf numFmtId="0" fontId="55" fillId="26" borderId="2" xfId="44" applyFont="1" applyFill="1" applyBorder="1" applyAlignment="1">
      <alignment horizontal="center" vertical="center"/>
    </xf>
    <xf numFmtId="0" fontId="55" fillId="26" borderId="0" xfId="44" applyFont="1" applyFill="1" applyAlignment="1">
      <alignment horizontal="center" vertical="center"/>
    </xf>
    <xf numFmtId="0" fontId="50" fillId="18" borderId="26" xfId="44" applyFont="1" applyFill="1" applyBorder="1" applyAlignment="1">
      <alignment horizontal="right" vertical="center"/>
    </xf>
    <xf numFmtId="0" fontId="50" fillId="18" borderId="27" xfId="44" applyFont="1" applyFill="1" applyBorder="1" applyAlignment="1">
      <alignment horizontal="right" vertical="center"/>
    </xf>
    <xf numFmtId="0" fontId="56" fillId="0" borderId="29" xfId="44" applyFont="1" applyBorder="1" applyAlignment="1">
      <alignment horizontal="right" vertical="center"/>
    </xf>
    <xf numFmtId="0" fontId="56" fillId="31" borderId="31" xfId="44" applyFont="1" applyFill="1" applyBorder="1" applyAlignment="1">
      <alignment horizontal="right" vertical="center"/>
    </xf>
    <xf numFmtId="0" fontId="39" fillId="32" borderId="32" xfId="44" applyFont="1" applyFill="1" applyBorder="1"/>
    <xf numFmtId="0" fontId="56" fillId="30" borderId="29" xfId="44" applyFont="1" applyFill="1" applyBorder="1" applyAlignment="1">
      <alignment horizontal="right" vertical="center"/>
    </xf>
  </cellXfs>
  <cellStyles count="235">
    <cellStyle name="Bueno" xfId="49" builtinId="26"/>
    <cellStyle name="Bueno 2" xfId="119" xr:uid="{F602099B-C79D-4519-97D6-8AC0235A529D}"/>
    <cellStyle name="Correcto 2" xfId="175" xr:uid="{B15EDD89-C7D3-4EBE-AF23-8C582D8DC726}"/>
    <cellStyle name="Currency [0] 2 2" xfId="152" xr:uid="{32FFC8E8-3977-4E5E-99F6-B11327486E8E}"/>
    <cellStyle name="Entrada" xfId="4" builtinId="20"/>
    <cellStyle name="Hipervínculo" xfId="79" builtinId="8"/>
    <cellStyle name="Hipervínculo 2" xfId="6" xr:uid="{25E25485-9DD2-42CD-8F1F-EC88AF728A8C}"/>
    <cellStyle name="Hipervínculo 2 2" xfId="158" xr:uid="{F17E0C32-6A47-4EDD-ABAE-D85A01B4C396}"/>
    <cellStyle name="Hipervínculo 3" xfId="43" xr:uid="{02C061E5-0A4D-4F35-B4C8-3F8945998C3D}"/>
    <cellStyle name="Hipervínculo 4" xfId="188" xr:uid="{C43D114F-590B-4745-9E64-1ACCD18978AD}"/>
    <cellStyle name="Hyperlink" xfId="42" xr:uid="{8C5DFC44-59FB-4C9D-A02A-E57F9CE6FB02}"/>
    <cellStyle name="Hyperlink 2" xfId="189" xr:uid="{E7BD1D11-34DC-487E-89EA-0F3D67BC3AC7}"/>
    <cellStyle name="Millares [0]" xfId="1" builtinId="6"/>
    <cellStyle name="Millares [0] 2" xfId="178" xr:uid="{99F03820-D008-431E-9A95-25C9F595DD93}"/>
    <cellStyle name="Millares [0] 3" xfId="193" xr:uid="{D1DDC273-DCD5-4A51-A76B-78C62951FEC6}"/>
    <cellStyle name="Millares 109" xfId="149" xr:uid="{A01B8F70-C571-4CED-AC59-DF36F472B0FD}"/>
    <cellStyle name="Millares 2" xfId="92" xr:uid="{25417F6F-EEA4-428D-97B0-B24EC3F39144}"/>
    <cellStyle name="Millares 2 2" xfId="108" xr:uid="{DD1C736F-8749-4FAE-98E5-3DBFC0B4FB78}"/>
    <cellStyle name="Millares 2 2 2" xfId="19" xr:uid="{D44BD01E-5EA3-4DE3-A9F1-754E33745C1B}"/>
    <cellStyle name="Millares 2 2 2 2" xfId="131" xr:uid="{718C1457-E5FA-42E5-AC75-E6D2A1D146A5}"/>
    <cellStyle name="Millares 2 2 2 3" xfId="197" xr:uid="{994845F4-2116-4475-A100-F67E4F879B47}"/>
    <cellStyle name="Millares 2 3" xfId="155" xr:uid="{1D7157AB-C96A-48C7-A03C-524FEB7A21E7}"/>
    <cellStyle name="Millares 2 7" xfId="177" xr:uid="{D83665C4-27A1-4609-B5B5-D8071FD95654}"/>
    <cellStyle name="Millares 3" xfId="15" xr:uid="{2D194CB1-2915-4DD5-A122-45C00067A709}"/>
    <cellStyle name="Millares 3 2" xfId="47" xr:uid="{DEDB463D-6C1E-4AA0-8065-83B6206BCACE}"/>
    <cellStyle name="Millares 3 2 2" xfId="40" xr:uid="{038C14F0-F1F8-4055-9F98-0097DC688E7B}"/>
    <cellStyle name="Millares 3 2 2 2" xfId="202" xr:uid="{A7DDD535-4D03-44E3-AE23-A0B05ECC77D1}"/>
    <cellStyle name="Millares 3 2 3" xfId="133" xr:uid="{FAFB8E88-A6F5-4AC1-A592-EA3A81A569FB}"/>
    <cellStyle name="Millares 3 2 4" xfId="204" xr:uid="{7EEF0A6E-FD3C-4DB8-9F47-F2A9BB12E20F}"/>
    <cellStyle name="Millares 3 3" xfId="111" xr:uid="{3735EFD1-95C8-4B86-A368-A4F74AE34038}"/>
    <cellStyle name="Millares 4" xfId="85" xr:uid="{CEC1B249-FA71-4A80-8A3A-DF57D50F78D7}"/>
    <cellStyle name="Millares 4 2" xfId="17" xr:uid="{0133510C-5036-4C0D-A150-8E9A409663CC}"/>
    <cellStyle name="Millares 4 2 2" xfId="196" xr:uid="{BDC35166-3CA1-4A98-B4D3-72411A85188B}"/>
    <cellStyle name="Millares 6" xfId="25" xr:uid="{2C7A0AD9-3F97-4189-899F-36747338AB60}"/>
    <cellStyle name="Moneda" xfId="2" builtinId="4"/>
    <cellStyle name="Moneda [0]" xfId="232" builtinId="7"/>
    <cellStyle name="Moneda [0] 10" xfId="66" xr:uid="{78BD9D1F-8313-4667-8D2F-C28A2B5C6C7C}"/>
    <cellStyle name="Moneda [0] 10 2" xfId="216" xr:uid="{39FF393A-8FE2-4C79-980B-3F41EECA29E1}"/>
    <cellStyle name="Moneda [0] 11" xfId="70" xr:uid="{E9451E67-4ED9-4186-8487-34F092B4F03B}"/>
    <cellStyle name="Moneda [0] 11 2" xfId="220" xr:uid="{072AA77E-27FC-4944-903A-A9AC12E7499E}"/>
    <cellStyle name="Moneda [0] 12" xfId="74" xr:uid="{E9D6C1FC-D306-4D52-B06E-C986BB589218}"/>
    <cellStyle name="Moneda [0] 12 2" xfId="223" xr:uid="{4C563154-B752-4FF0-BCCA-1165C9414FE2}"/>
    <cellStyle name="Moneda [0] 13" xfId="77" xr:uid="{1163A621-9300-4F25-B554-D788D3BEB684}"/>
    <cellStyle name="Moneda [0] 13 2" xfId="226" xr:uid="{B27B9B8C-3A6D-4DB4-AB70-F19590EB0247}"/>
    <cellStyle name="Moneda [0] 14" xfId="81" xr:uid="{F0A27C44-7A17-4CF2-A00E-492C2582E251}"/>
    <cellStyle name="Moneda [0] 14 2" xfId="229" xr:uid="{74433C26-9685-4B95-A2C0-FC19D076CE55}"/>
    <cellStyle name="Moneda [0] 2" xfId="41" xr:uid="{8468C133-DCE1-4ED8-9378-A5203490B664}"/>
    <cellStyle name="Moneda [0] 2 2" xfId="161" xr:uid="{7311F627-EFA3-4EE0-9B7B-A5A8D18489B6}"/>
    <cellStyle name="Moneda [0] 2 3" xfId="46" xr:uid="{CC2BE51F-FF37-4D81-AA02-50C706D3F916}"/>
    <cellStyle name="Moneda [0] 2 4" xfId="203" xr:uid="{D9D23D32-4ADA-42BD-AB78-37A4BE426966}"/>
    <cellStyle name="Moneda [0] 3" xfId="52" xr:uid="{2EBD3C4E-55BC-4150-88D4-F6B0C89A152E}"/>
    <cellStyle name="Moneda [0] 3 2" xfId="121" xr:uid="{578D8B02-8992-4736-9AEC-4D6668FC9872}"/>
    <cellStyle name="Moneda [0] 3 3" xfId="37" xr:uid="{B758DAFE-DA8C-4F57-B442-91F6B647C104}"/>
    <cellStyle name="Moneda [0] 3 4" xfId="206" xr:uid="{734B5FBA-25EF-4182-A4BB-53CA97768E3B}"/>
    <cellStyle name="Moneda [0] 4" xfId="55" xr:uid="{C4919D7C-4688-4D34-9DE2-82F5EBB01980}"/>
    <cellStyle name="Moneda [0] 4 2" xfId="143" xr:uid="{80E88D72-114B-46D3-9F03-F3E3362618CF}"/>
    <cellStyle name="Moneda [0] 4 3" xfId="123" xr:uid="{B1FBB96F-59DD-4C69-ACC7-5FDEF75FC5C7}"/>
    <cellStyle name="Moneda [0] 4 4" xfId="207" xr:uid="{9EAF8002-C72A-4E95-ADD0-493962C5D6C0}"/>
    <cellStyle name="Moneda [0] 5" xfId="56" xr:uid="{71E55A95-40BC-4918-B3D5-2DA2DA2440A0}"/>
    <cellStyle name="Moneda [0] 5 2" xfId="124" xr:uid="{7528C151-DC1B-4E5D-806D-0C345231E8ED}"/>
    <cellStyle name="Moneda [0] 5 3" xfId="208" xr:uid="{64BFFDB5-0FD7-4F29-ADAA-168F3D679F05}"/>
    <cellStyle name="Moneda [0] 6" xfId="29" xr:uid="{4097AA24-D03B-4103-B18F-F7F6309C14F7}"/>
    <cellStyle name="Moneda [0] 6 2" xfId="36" xr:uid="{33D13F7D-75A0-4650-9F26-54FAAA389EE9}"/>
    <cellStyle name="Moneda [0] 6 2 2" xfId="200" xr:uid="{2BDF4A68-43C0-407F-98EC-619D24CF4D00}"/>
    <cellStyle name="Moneda [0] 7" xfId="58" xr:uid="{C21DF1B1-226C-4B68-9CDC-9EDE4F0775E6}"/>
    <cellStyle name="Moneda [0] 7 2" xfId="209" xr:uid="{3EBA556E-9511-445E-9F74-41C13EF077F6}"/>
    <cellStyle name="Moneda [0] 8" xfId="60" xr:uid="{0120F839-FF3B-4E50-B190-2D33E6850485}"/>
    <cellStyle name="Moneda [0] 8 2" xfId="211" xr:uid="{D321234D-FC52-4938-82D4-973840FFC435}"/>
    <cellStyle name="Moneda [0] 9" xfId="63" xr:uid="{EA16CEDC-B560-45B7-A1C7-CCC75CF40F80}"/>
    <cellStyle name="Moneda [0] 9 2" xfId="213" xr:uid="{42A518D2-6ABE-4594-8043-A8CFBD2CCF48}"/>
    <cellStyle name="Moneda 10" xfId="82" xr:uid="{FC792648-FBC0-4AFD-9745-5535DCD2F95E}"/>
    <cellStyle name="Moneda 10 2" xfId="22" xr:uid="{9ABD52F0-FF08-4D42-BDF2-EBBDE16761B6}"/>
    <cellStyle name="Moneda 10 3" xfId="230" xr:uid="{8F71E26A-D6D4-4A1C-B40F-285481149AEC}"/>
    <cellStyle name="Moneda 11" xfId="86" xr:uid="{D1D58B9D-6050-4075-A58A-A0D34CEB7880}"/>
    <cellStyle name="Moneda 12" xfId="194" xr:uid="{E7113FBA-2F11-44BA-A37D-F06136A6C13C}"/>
    <cellStyle name="Moneda 13" xfId="195" xr:uid="{67C13190-6320-42DD-A0B6-7897DE6A28D1}"/>
    <cellStyle name="Moneda 14" xfId="231" xr:uid="{75B50CA9-9678-4A3A-ABB9-C9AC3E8C1340}"/>
    <cellStyle name="Moneda 2" xfId="8" xr:uid="{A4A30163-92CF-4722-967C-3F1958685E4F}"/>
    <cellStyle name="Moneda 2 2" xfId="20" xr:uid="{91FC8175-78D6-446F-B58F-59408CB91D01}"/>
    <cellStyle name="Moneda 2 2 2" xfId="160" xr:uid="{705DAD8D-E1F7-434F-8F37-458A2F1265FC}"/>
    <cellStyle name="Moneda 2 3" xfId="156" xr:uid="{02BA0905-078E-47DC-8B2F-F8A098D5FF95}"/>
    <cellStyle name="Moneda 2 4" xfId="91" xr:uid="{8693B2F4-640D-4036-B197-1E82E3D8F1EF}"/>
    <cellStyle name="Moneda 3" xfId="48" xr:uid="{8B8E52B2-468B-4E4D-8FF4-4EEFD28D7BD6}"/>
    <cellStyle name="Moneda 3 2" xfId="18" xr:uid="{2E5A11F1-C024-4D12-BA97-B650B12EA51A}"/>
    <cellStyle name="Moneda 3 3" xfId="109" xr:uid="{5A69E88F-1E0E-4319-9F10-772676123869}"/>
    <cellStyle name="Moneda 3 4" xfId="205" xr:uid="{A918EEE1-E4A0-45E7-BA20-340A43021A4D}"/>
    <cellStyle name="Moneda 4" xfId="61" xr:uid="{66A9EDCC-0440-446A-AB00-C620975BD6C3}"/>
    <cellStyle name="Moneda 4 2" xfId="110" xr:uid="{D7911A01-26F7-468F-B241-F4569CC2D2B0}"/>
    <cellStyle name="Moneda 4 3" xfId="212" xr:uid="{3546BBFC-4E28-4F9E-A5E1-CCFA0892EEA1}"/>
    <cellStyle name="Moneda 5" xfId="64" xr:uid="{3041BD5A-B46F-4FE8-9EA3-EB7D04965959}"/>
    <cellStyle name="Moneda 5 2" xfId="214" xr:uid="{00052293-A25F-4349-B4D5-9A174C371123}"/>
    <cellStyle name="Moneda 6" xfId="67" xr:uid="{A06F2496-EDF2-4558-AEBA-A7898C7B709A}"/>
    <cellStyle name="Moneda 6 2" xfId="217" xr:uid="{9DD7FAD8-AA45-441D-8180-C10CA432DAEB}"/>
    <cellStyle name="Moneda 7" xfId="71" xr:uid="{9F880DCE-D073-407C-91AE-B6B347BFC6E2}"/>
    <cellStyle name="Moneda 7 2" xfId="221" xr:uid="{E5D4E5E3-4313-4381-98A2-EF96EE60A4B8}"/>
    <cellStyle name="Moneda 8" xfId="75" xr:uid="{BD3ED548-5183-4B14-9362-5F68D947F8B9}"/>
    <cellStyle name="Moneda 8 2" xfId="224" xr:uid="{9BDC768C-D084-4E45-AEE8-37D92E381FCA}"/>
    <cellStyle name="Moneda 9" xfId="78" xr:uid="{2F8AA706-18C2-4DDC-9EB3-44EA4CF2574E}"/>
    <cellStyle name="Moneda 9 2" xfId="227" xr:uid="{95285473-4515-44F1-AE14-615E8EC224DF}"/>
    <cellStyle name="Normal" xfId="0" builtinId="0"/>
    <cellStyle name="Normal 10" xfId="28" xr:uid="{EEF6212C-7E71-4EF3-A8C2-4EBD961F811F}"/>
    <cellStyle name="Normal 10 2" xfId="150" xr:uid="{86076877-24D0-4AEE-B3CD-BD12C567BE90}"/>
    <cellStyle name="Normal 10 3" xfId="147" xr:uid="{E70990D9-FA2B-469F-A6FB-92D75F26D627}"/>
    <cellStyle name="Normal 100 6" xfId="9" xr:uid="{ECE91228-F01D-465C-A959-314BAB806617}"/>
    <cellStyle name="Normal 102" xfId="23" xr:uid="{0E339DC3-2C76-4BFF-9823-48A38E6405BE}"/>
    <cellStyle name="Normal 11" xfId="12" xr:uid="{922D5065-BCA7-40B2-BFC5-FF88A2960685}"/>
    <cellStyle name="Normal 11 2" xfId="185" xr:uid="{E8B0B904-572E-46D5-8ED2-DE525C6D8C29}"/>
    <cellStyle name="Normal 12" xfId="53" xr:uid="{D1884C8A-77CB-4A41-BCE9-B3DCD54B6C88}"/>
    <cellStyle name="Normal 12 2" xfId="187" xr:uid="{2B94A246-8F37-49A8-9A28-18ABDBF10264}"/>
    <cellStyle name="Normal 12 3" xfId="234" xr:uid="{487AE7D7-6ADA-44D5-870F-E83B723B35E3}"/>
    <cellStyle name="Normal 13" xfId="24" xr:uid="{28C11A0A-A5AA-40C3-9732-20A4F8743292}"/>
    <cellStyle name="Normal 14" xfId="65" xr:uid="{82D87969-C088-417C-B0F1-6C5B8884ECA8}"/>
    <cellStyle name="Normal 14 2" xfId="130" xr:uid="{AF6ADCBC-D758-468E-A0F8-CDA23E02B8A0}"/>
    <cellStyle name="Normal 14 3" xfId="87" xr:uid="{7AF29A8B-66D2-4C3C-9135-338B6B492812}"/>
    <cellStyle name="Normal 14 4" xfId="215" xr:uid="{FC2A76AA-34BA-40E2-8B8D-7DB250DEDB2F}"/>
    <cellStyle name="Normal 15" xfId="68" xr:uid="{E87033D9-5A2C-47B9-8BED-A18782090B9A}"/>
    <cellStyle name="Normal 15 2" xfId="73" xr:uid="{46614A00-E640-4CEC-9F02-4F5F7E1607A3}"/>
    <cellStyle name="Normal 15 2 2" xfId="222" xr:uid="{5A33113A-426E-4A42-95DB-5CD328037598}"/>
    <cellStyle name="Normal 15 3" xfId="218" xr:uid="{89EAB387-F812-4CBC-B5B3-72E7ACDE6097}"/>
    <cellStyle name="Normal 16" xfId="69" xr:uid="{C456AABB-2529-44EC-857E-80DAF945A58C}"/>
    <cellStyle name="Normal 16 2" xfId="219" xr:uid="{52A0F552-03B1-448A-BA41-545752181ADA}"/>
    <cellStyle name="Normal 17" xfId="72" xr:uid="{87A8A127-D126-428F-8CA3-8C01685DA614}"/>
    <cellStyle name="Normal 17 2" xfId="151" xr:uid="{66FE773D-2AA4-41D4-B1E9-9BEC9E12757F}"/>
    <cellStyle name="Normal 18" xfId="76" xr:uid="{97F11DAF-9B2F-4633-9684-DE65FD16C400}"/>
    <cellStyle name="Normal 18 2" xfId="225" xr:uid="{4A2193EB-7592-4B12-96D7-8430B5318920}"/>
    <cellStyle name="Normal 19" xfId="80" xr:uid="{C4C17E4B-90BC-40E4-9CCF-10A7842721C9}"/>
    <cellStyle name="Normal 19 2" xfId="228" xr:uid="{87287328-BB60-4674-87CF-E5A38E17B54F}"/>
    <cellStyle name="Normal 2" xfId="5" xr:uid="{36206699-973E-4466-9AF1-B885B73108BC}"/>
    <cellStyle name="Normal 2 10" xfId="153" xr:uid="{CB2DBBF5-75BC-4C6C-AA37-78D297EC7C42}"/>
    <cellStyle name="Normal 2 10 2 2" xfId="157" xr:uid="{A7DB8654-368B-46F5-8B19-A16C0034E3F8}"/>
    <cellStyle name="Normal 2 10 3" xfId="154" xr:uid="{EE305993-3A83-4CFC-B6CD-3F9EEC6A98F2}"/>
    <cellStyle name="Normal 2 2" xfId="13" xr:uid="{EFE00311-9CDA-4EA6-8C00-CDAAD8228A22}"/>
    <cellStyle name="Normal 2 2 2" xfId="183" xr:uid="{F08F30B1-980F-4600-8A14-5090731AD348}"/>
    <cellStyle name="Normal 2 2 2 2" xfId="31" xr:uid="{4EB23DA8-6889-4921-8E51-59E4B9B4DAF3}"/>
    <cellStyle name="Normal 2 3" xfId="89" xr:uid="{1D84E6D2-0B6A-4432-ADDF-E455AC56BF3C}"/>
    <cellStyle name="Normal 2 5 2" xfId="100" xr:uid="{2CD8F8D3-D3CB-4FEE-9024-2BFB9370AB17}"/>
    <cellStyle name="Normal 2 5 2 2" xfId="162" xr:uid="{E69DFA2F-C51F-4C3E-803D-6EA32E533DF0}"/>
    <cellStyle name="Normal 20" xfId="83" xr:uid="{B417C056-497F-4280-AC4C-526F3D25755B}"/>
    <cellStyle name="Normal 21" xfId="84" xr:uid="{A7EE13AE-9A36-48DF-9384-05192D736D15}"/>
    <cellStyle name="Normal 22" xfId="233" xr:uid="{27AE5762-7D97-4754-BD86-F377C2D7CE22}"/>
    <cellStyle name="Normal 3" xfId="11" xr:uid="{8E21C21D-F17C-463C-A3CB-7E7096B945E4}"/>
    <cellStyle name="Normal 3 2" xfId="95" xr:uid="{CC787DEA-2E99-43EB-9E67-4716C75024C1}"/>
    <cellStyle name="Normal 3 2 2" xfId="33" xr:uid="{C050CFA3-F81F-45BB-B28D-735F5023A717}"/>
    <cellStyle name="Normal 3 2 2 2" xfId="138" xr:uid="{11932222-699F-434C-81D4-C1A23C57D702}"/>
    <cellStyle name="Normal 3 2 2 3" xfId="199" xr:uid="{B6A6FBE8-D3D0-4837-BD02-873F8D609209}"/>
    <cellStyle name="Normal 3 2 3" xfId="181" xr:uid="{A4F84766-E478-42EF-B61A-32CB7DF8F459}"/>
    <cellStyle name="Normal 3 2 3 2" xfId="186" xr:uid="{C2E7C0CE-0154-469C-BE44-E090B4CADC61}"/>
    <cellStyle name="Normal 3 2 3 3" xfId="190" xr:uid="{A465B99E-8AE3-4D76-8D04-0E82DB8CF065}"/>
    <cellStyle name="Normal 3 2 4" xfId="182" xr:uid="{E912A3FA-D466-424B-BED4-06F3C7081DA3}"/>
    <cellStyle name="Normal 3 3" xfId="132" xr:uid="{C6148604-5AB7-4864-9BF2-D8C3AD171096}"/>
    <cellStyle name="Normal 3 4" xfId="21" xr:uid="{2D047790-C13F-47D8-87B5-29D5CD3CC07E}"/>
    <cellStyle name="Normal 3 4 2" xfId="38" xr:uid="{1D9EEBDE-3EB1-41EE-939E-2999360673A6}"/>
    <cellStyle name="Normal 3 4 2 2" xfId="201" xr:uid="{98342E3E-AF40-4F1D-BE6F-C14D458CC1EC}"/>
    <cellStyle name="Normal 3 4 3" xfId="159" xr:uid="{7E671EFB-747E-43D1-BA7F-66669B79C5E8}"/>
    <cellStyle name="Normal 3 5" xfId="34" xr:uid="{68D41205-14F1-4258-8C34-276D7863EBAF}"/>
    <cellStyle name="Normal 3 5 2" xfId="180" xr:uid="{DB3A3032-3DB2-41E8-9627-CB1C2C9C4304}"/>
    <cellStyle name="Normal 3 6" xfId="184" xr:uid="{92A7BEE9-5199-48EE-B2DC-819DBFB9B444}"/>
    <cellStyle name="Normal 3 7" xfId="90" xr:uid="{969AA860-C79C-483B-AD47-79AA6E5E0208}"/>
    <cellStyle name="Normal 4" xfId="51" xr:uid="{00A01055-06C0-4A77-82FA-90B3B74C9D60}"/>
    <cellStyle name="Normal 4 2" xfId="96" xr:uid="{9C5B6173-6D1F-45FD-A46D-9B43411B77DB}"/>
    <cellStyle name="Normal 4 2 2" xfId="30" xr:uid="{16119B13-3CE2-4EB2-8AED-3845DBF2EBFE}"/>
    <cellStyle name="Normal 4 3" xfId="44" xr:uid="{83A5BB76-9580-48AC-90A1-2FBD45C876BE}"/>
    <cellStyle name="Normal 4 3 2" xfId="122" xr:uid="{649BCAF1-6B8F-47F1-92A3-FFA149DEB760}"/>
    <cellStyle name="Normal 4 3 2 2" xfId="145" xr:uid="{0B0DD587-8098-465C-B17A-294AD4EF50D6}"/>
    <cellStyle name="Normal 4 3 3" xfId="134" xr:uid="{37C29FDE-00EC-47D6-990C-F7D2325E087E}"/>
    <cellStyle name="Normal 4 3 4" xfId="164" xr:uid="{77E0B93F-6CB2-4B9A-A3B3-A88D27014332}"/>
    <cellStyle name="Normal 4 3 4 2" xfId="192" xr:uid="{C92A1C4C-EDE0-4714-9BDB-C2FE16F8BA1C}"/>
    <cellStyle name="Normal 4 3 5" xfId="104" xr:uid="{74515247-9DA0-4759-A86A-2DCED575FDEF}"/>
    <cellStyle name="Normal 4 4" xfId="107" xr:uid="{0437A472-50D1-4A06-9E6D-605F65B53192}"/>
    <cellStyle name="Normal 4 4 2" xfId="142" xr:uid="{00793C4D-4B87-40F2-9414-6DC5CA468962}"/>
    <cellStyle name="Normal 4 4 3" xfId="165" xr:uid="{2D521878-3E5E-4973-9E3B-529BEB37F878}"/>
    <cellStyle name="Normal 4 5" xfId="113" xr:uid="{9053347C-CCDF-452B-A3EF-E31B5D3E0C42}"/>
    <cellStyle name="Normal 4 5 2" xfId="144" xr:uid="{250A4033-4FE0-4361-B3B7-79E77F28B298}"/>
    <cellStyle name="Normal 4 6" xfId="125" xr:uid="{600B8853-812F-4FA3-BC71-1C13D110CA74}"/>
    <cellStyle name="Normal 4 7" xfId="163" xr:uid="{B2176771-A1C5-4AB4-8EC8-A19983E1758A}"/>
    <cellStyle name="Normal 4 8" xfId="191" xr:uid="{9D14C562-F8A5-4231-9C78-8C2D0B6E193B}"/>
    <cellStyle name="Normal 4 9" xfId="98" xr:uid="{ED679BBD-AF3E-4911-A50B-6FA42E4C1103}"/>
    <cellStyle name="Normal 5" xfId="54" xr:uid="{24818478-8D17-4F45-BB04-775CB79A6341}"/>
    <cellStyle name="Normal 5 2" xfId="115" xr:uid="{D45C978F-C42F-4185-A1EC-688890237708}"/>
    <cellStyle name="Normal 5 2 2" xfId="136" xr:uid="{98B257C5-C3FB-4E42-BBF8-98B005F122CD}"/>
    <cellStyle name="Normal 5 3" xfId="127" xr:uid="{7AA2AAC5-6DBE-4DE9-9A10-4232591AF652}"/>
    <cellStyle name="Normal 5 4" xfId="166" xr:uid="{C9EAC88C-A190-4028-82F9-86B183568E53}"/>
    <cellStyle name="Normal 5 5" xfId="99" xr:uid="{45F09A6D-DAC2-4C3F-BF15-EB66DE13AFF6}"/>
    <cellStyle name="Normal 6" xfId="57" xr:uid="{E15CB229-F43B-4067-9999-4BD6A13F73E2}"/>
    <cellStyle name="Normal 6 2" xfId="35" xr:uid="{4B65C2E4-8573-4A09-8941-626936F8F590}"/>
    <cellStyle name="Normal 6 2 2" xfId="14" xr:uid="{643CCC9C-2EC0-4668-9847-1E28F64B102B}"/>
    <cellStyle name="Normal 6 2 2 2" xfId="137" xr:uid="{F404E3FC-11FA-4543-8346-F7BE008889C5}"/>
    <cellStyle name="Normal 6 2 3" xfId="168" xr:uid="{9E725FDB-51E6-42A2-BD41-C9DAC68D453A}"/>
    <cellStyle name="Normal 6 2 4" xfId="102" xr:uid="{A7FB0F0D-8633-42D8-AAA9-4DD5A8CA112A}"/>
    <cellStyle name="Normal 6 3" xfId="106" xr:uid="{2143311E-EEE6-4260-A507-4EF08E3142E9}"/>
    <cellStyle name="Normal 6 3 2" xfId="169" xr:uid="{D2CA80FD-EE85-4038-9A62-45017000B91B}"/>
    <cellStyle name="Normal 6 4" xfId="116" xr:uid="{7231E443-5C4C-4C35-81FB-477EFA4F9DDD}"/>
    <cellStyle name="Normal 6 5" xfId="128" xr:uid="{A70B992D-C618-43B7-912F-E21FADDC224F}"/>
    <cellStyle name="Normal 6 6" xfId="167" xr:uid="{60A0C978-6879-4478-9C26-875CE48DAA32}"/>
    <cellStyle name="Normal 6 7" xfId="94" xr:uid="{C49D2E6E-F4EF-4797-BD95-E0EA4DBA88F8}"/>
    <cellStyle name="Normal 7" xfId="59" xr:uid="{6B753501-EDC6-4035-A22E-A98C0F9D4E17}"/>
    <cellStyle name="Normal 7 2" xfId="118" xr:uid="{85AB234D-B906-4FDE-BA60-412BF206A522}"/>
    <cellStyle name="Normal 7 3" xfId="170" xr:uid="{4587C59B-7DEE-48B0-ABFF-D67DDB7D256D}"/>
    <cellStyle name="Normal 7 4" xfId="101" xr:uid="{CB31502B-1AFE-49C0-9626-54F661233AC6}"/>
    <cellStyle name="Normal 7 5" xfId="210" xr:uid="{24507187-21D5-4635-B4F5-C0DAB15C6CC2}"/>
    <cellStyle name="Normal 8" xfId="62" xr:uid="{757E5248-8082-4A02-A82D-B402C124ABF2}"/>
    <cellStyle name="Normal 8 2" xfId="176" xr:uid="{A2A98EF5-4EE6-4A76-B7D3-87AAA221875F}"/>
    <cellStyle name="Normal 8 3" xfId="140" xr:uid="{F7F9C3A0-F9A7-4197-A6C1-5B80BDD2624A}"/>
    <cellStyle name="Normal 9" xfId="45" xr:uid="{2A62F4F5-3A62-4023-B644-5B1EE5D88B24}"/>
    <cellStyle name="Normal 9 2" xfId="179" xr:uid="{87FC5D67-E381-439B-89C7-224167E35BC3}"/>
    <cellStyle name="Normal 9 3" xfId="141" xr:uid="{07F5F487-B4B1-46D8-B88C-0CD3FB6734F5}"/>
    <cellStyle name="Notas 2" xfId="105" xr:uid="{493F6752-4229-4BCF-B95A-1BD7EF79FF5D}"/>
    <cellStyle name="Notas 3" xfId="114" xr:uid="{8D24000F-02C7-430A-98A7-AA7D090251A0}"/>
    <cellStyle name="Notas 3 2" xfId="135" xr:uid="{A6207BA6-EC0F-4FEC-AC9B-58A226CFA869}"/>
    <cellStyle name="Notas 3 3" xfId="126" xr:uid="{71F85393-1520-42A0-8DE0-73C074EEB592}"/>
    <cellStyle name="Notas 4" xfId="120" xr:uid="{F6797B4E-9C79-45F0-AC0A-DE9F1E673F94}"/>
    <cellStyle name="Porcentaje" xfId="3" builtinId="5"/>
    <cellStyle name="Porcentaje 2" xfId="10" xr:uid="{09201CD2-5022-4073-AD53-A10B1F466A58}"/>
    <cellStyle name="Porcentaje 2 2" xfId="32" xr:uid="{B61463F0-3312-4EB6-9DA6-13306F277BF9}"/>
    <cellStyle name="Porcentaje 2 2 2" xfId="198" xr:uid="{AEB9647B-0607-496D-BA87-6392F44114E5}"/>
    <cellStyle name="Porcentaje 2 3" xfId="39" xr:uid="{89FA4787-31BA-440A-BF6C-CF29D87A14E5}"/>
    <cellStyle name="Porcentaje 2 4" xfId="93" xr:uid="{21D0E983-ECDB-484C-9BAF-4D0D82063596}"/>
    <cellStyle name="Porcentaje 3" xfId="7" xr:uid="{3412B457-484E-4711-91B7-5BF01C8A5055}"/>
    <cellStyle name="Porcentaje 3 2" xfId="112" xr:uid="{49DF5DA0-3F4C-4CAF-86A3-7B8853259B46}"/>
    <cellStyle name="Porcentaje 4" xfId="26" xr:uid="{B4BA8E34-C878-4562-858E-45DE6DFE6297}"/>
    <cellStyle name="Porcentaje 4 2" xfId="103" xr:uid="{BFA5F075-282C-4C60-962B-25F2D5A568E5}"/>
    <cellStyle name="Porcentaje 4 2 2" xfId="139" xr:uid="{D3A237F2-3863-45BE-A0CD-FD5AEF3EAAB7}"/>
    <cellStyle name="Porcentaje 4 2 3" xfId="172" xr:uid="{3228FF7F-DD76-4DB5-85CC-E1470D8714F4}"/>
    <cellStyle name="Porcentaje 4 3" xfId="117" xr:uid="{2BC718B9-0AE1-469F-A158-2A1A2F9F6E60}"/>
    <cellStyle name="Porcentaje 4 4" xfId="129" xr:uid="{EEDE7D85-3625-401F-830F-B2FB5FED67B7}"/>
    <cellStyle name="Porcentaje 4 5" xfId="171" xr:uid="{E4C3677A-1701-4A12-8413-9CF065B54FD5}"/>
    <cellStyle name="Porcentaje 4 6" xfId="97" xr:uid="{57F36187-AE10-4DA7-9A7F-5957E44BF629}"/>
    <cellStyle name="Porcentaje 5" xfId="148" xr:uid="{7720039A-99E5-4FB3-A7DB-28856F82C4B5}"/>
    <cellStyle name="Porcentual 2" xfId="16" xr:uid="{7470D3E0-3295-4DD9-BBD6-EA2D9BA65A18}"/>
    <cellStyle name="Porcentual 2 2" xfId="27" xr:uid="{0D3FF8A4-8E3F-446A-B9F4-1F57DCDBA1AB}"/>
    <cellStyle name="Porcentual 2 3" xfId="173" xr:uid="{B6E073CF-BA3D-414C-A1BD-C1B45D298CCC}"/>
    <cellStyle name="Porcentual 3" xfId="174" xr:uid="{2E27E818-C9CD-4BC7-9438-BD75D099C6F5}"/>
    <cellStyle name="Porcentual 9" xfId="88" xr:uid="{5F54A3B2-9BEC-4803-A05F-79A1401B0DFD}"/>
    <cellStyle name="Total" xfId="50" builtinId="25"/>
    <cellStyle name="Total 2" xfId="146" xr:uid="{2D8FB46E-0B79-4CA2-AAA6-B51F3BFC0B4D}"/>
  </cellStyles>
  <dxfs count="52">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2" formatCode="mmm\-yy"/>
      <alignment horizontal="center" vertical="bottom" textRotation="0" wrapText="0" indent="0" justifyLastLine="0" shrinkToFit="0" readingOrder="0"/>
      <border diagonalUp="0" diagonalDown="0">
        <left style="thin">
          <color rgb="FF00B050"/>
        </left>
        <right/>
        <top style="thin">
          <color rgb="FF00B050"/>
        </top>
        <bottom style="thin">
          <color rgb="FF00B050"/>
        </bottom>
        <vertical/>
        <horizontal/>
      </border>
    </dxf>
    <dxf>
      <alignment horizontal="center" vertical="bottom"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numFmt numFmtId="32" formatCode="_-&quot;$&quot;\ * #,##0_-;\-&quot;$&quot;\ * #,##0_-;_-&quot;$&quot;\ * &quot;-&quot;_-;_-@_-"/>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rgb="FF00B050"/>
        </right>
        <top style="thin">
          <color rgb="FF00B050"/>
        </top>
        <bottom style="thin">
          <color rgb="FF00B050"/>
        </bottom>
        <vertical/>
        <horizontal/>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rgb="FF00B050"/>
        </left>
        <right style="thin">
          <color rgb="FF00B050"/>
        </right>
        <top/>
        <bottom/>
      </border>
    </dxf>
    <dxf>
      <font>
        <b val="0"/>
        <i val="0"/>
        <strike val="0"/>
        <condense val="0"/>
        <extend val="0"/>
        <outline val="0"/>
        <shadow val="0"/>
        <u val="none"/>
        <vertAlign val="baseline"/>
        <sz val="11"/>
        <color auto="1"/>
        <name val="Arial Unicode MS"/>
        <scheme val="none"/>
      </font>
      <numFmt numFmtId="167"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quot;$&quot;\ #,##0"/>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1"/>
        <color auto="1"/>
        <name val="Arial"/>
        <scheme val="none"/>
      </font>
      <numFmt numFmtId="165" formatCode="&quot;$&quot;\ #,##0"/>
      <fill>
        <patternFill patternType="none">
          <fgColor indexed="64"/>
          <bgColor auto="1"/>
        </patternFill>
      </fill>
      <alignment horizont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font>
        <b val="0"/>
        <strike val="0"/>
        <outline val="0"/>
        <shadow val="0"/>
        <sz val="11"/>
        <color auto="1"/>
      </font>
      <fill>
        <patternFill patternType="none">
          <fgColor indexed="64"/>
          <bgColor auto="1"/>
        </patternFill>
      </fill>
      <alignment horizontal="center" textRotation="0" wrapText="0" indent="0" justifyLastLine="0" shrinkToFit="0" readingOrder="0"/>
    </dxf>
    <dxf>
      <font>
        <b val="0"/>
        <strike val="0"/>
        <outline val="0"/>
        <shadow val="0"/>
        <sz val="11"/>
        <color auto="1"/>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font>
        <b val="0"/>
        <strike val="0"/>
        <outline val="0"/>
        <shadow val="0"/>
        <sz val="11"/>
        <color auto="1"/>
      </font>
      <fill>
        <patternFill patternType="none">
          <fgColor indexed="64"/>
          <bgColor auto="1"/>
        </patternFill>
      </fill>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sz val="11"/>
        <color auto="1"/>
      </font>
      <fill>
        <patternFill patternType="none">
          <fgColor indexed="64"/>
          <bgColor auto="1"/>
        </patternFill>
      </fill>
      <alignment horizontal="center" textRotation="0" indent="0" justifyLastLine="0" shrinkToFit="0" readingOrder="0"/>
    </dxf>
    <dxf>
      <border>
        <bottom style="thin">
          <color indexed="64"/>
        </bottom>
      </border>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dxf>
    <dxf>
      <numFmt numFmtId="32" formatCode="_-&quot;$&quot;\ * #,##0_-;\-&quot;$&quot;\ * #,##0_-;_-&quot;$&quot;\ * &quot;-&quot;_-;_-@_-"/>
      <alignment horizontal="center" vertical="center" textRotation="0" wrapText="0" indent="0" justifyLastLine="0" shrinkToFit="0" readingOrder="0"/>
      <border diagonalUp="0" diagonalDown="0">
        <left style="thin">
          <color rgb="FF00B050"/>
        </left>
        <right/>
        <top style="thin">
          <color rgb="FF00B050"/>
        </top>
        <bottom style="thin">
          <color rgb="FF00B050"/>
        </bottom>
        <vertical/>
        <horizontal/>
      </border>
    </dxf>
    <dxf>
      <numFmt numFmtId="32" formatCode="_-&quot;$&quot;\ * #,##0_-;\-&quot;$&quot;\ * #,##0_-;_-&quot;$&quot;\ * &quot;-&quot;_-;_-@_-"/>
      <alignment horizontal="center"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rgb="FF00B050"/>
        </left>
        <right style="thin">
          <color rgb="FF00B050"/>
        </right>
        <top style="thin">
          <color rgb="FF00B050"/>
        </top>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thin">
          <color rgb="FF00B050"/>
        </left>
        <right style="thin">
          <color rgb="FF00B050"/>
        </right>
        <top style="thin">
          <color rgb="FF00B050"/>
        </top>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rgb="FF00B050"/>
        </right>
        <top style="thin">
          <color rgb="FF00B050"/>
        </top>
        <bottom style="thin">
          <color rgb="FF00B050"/>
        </bottom>
        <vertical/>
        <horizontal/>
      </border>
    </dxf>
    <dxf>
      <border outline="0">
        <top style="thin">
          <color rgb="FF00B050"/>
        </top>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rgb="FF00B050"/>
        </left>
        <right style="thin">
          <color rgb="FF00B050"/>
        </right>
        <top/>
        <bottom/>
      </border>
    </dxf>
  </dxfs>
  <tableStyles count="0" defaultTableStyle="TableStyleMedium2" defaultPivotStyle="PivotStyleLight16"/>
  <colors>
    <mruColors>
      <color rgb="FF00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7523e511-f4d5-44c4-b894-6f0af6ce0791" TargetMode="Externa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9</xdr:col>
      <xdr:colOff>749540</xdr:colOff>
      <xdr:row>28</xdr:row>
      <xdr:rowOff>131109</xdr:rowOff>
    </xdr:from>
    <xdr:to>
      <xdr:col>10</xdr:col>
      <xdr:colOff>426624</xdr:colOff>
      <xdr:row>31</xdr:row>
      <xdr:rowOff>18117</xdr:rowOff>
    </xdr:to>
    <xdr:sp macro="" textlink="">
      <xdr:nvSpPr>
        <xdr:cNvPr id="4" name="Llamada ovalada 2">
          <a:extLst>
            <a:ext uri="{FF2B5EF4-FFF2-40B4-BE49-F238E27FC236}">
              <a16:creationId xmlns:a16="http://schemas.microsoft.com/office/drawing/2014/main" id="{EB31E20C-BBE5-4952-9162-40B9AE873DEB}"/>
            </a:ext>
          </a:extLst>
        </xdr:cNvPr>
        <xdr:cNvSpPr/>
      </xdr:nvSpPr>
      <xdr:spPr>
        <a:xfrm>
          <a:off x="13576540" y="6680680"/>
          <a:ext cx="1019655" cy="59458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734785</xdr:colOff>
      <xdr:row>28</xdr:row>
      <xdr:rowOff>127000</xdr:rowOff>
    </xdr:from>
    <xdr:to>
      <xdr:col>10</xdr:col>
      <xdr:colOff>488069</xdr:colOff>
      <xdr:row>30</xdr:row>
      <xdr:rowOff>171133</xdr:rowOff>
    </xdr:to>
    <xdr:sp macro="" textlink="">
      <xdr:nvSpPr>
        <xdr:cNvPr id="5" name="CuadroTexto 4">
          <a:extLst>
            <a:ext uri="{FF2B5EF4-FFF2-40B4-BE49-F238E27FC236}">
              <a16:creationId xmlns:a16="http://schemas.microsoft.com/office/drawing/2014/main" id="{75D39A70-1627-40BC-85ED-AA61610C2579}"/>
            </a:ext>
          </a:extLst>
        </xdr:cNvPr>
        <xdr:cNvSpPr txBox="1"/>
      </xdr:nvSpPr>
      <xdr:spPr>
        <a:xfrm>
          <a:off x="13561785" y="6676571"/>
          <a:ext cx="1095855" cy="524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a:t>INSERTAR</a:t>
          </a:r>
          <a:r>
            <a:rPr lang="es-CO" sz="1050" baseline="0"/>
            <a:t> PORCENTAJES DE AIU</a:t>
          </a:r>
          <a:endParaRPr lang="es-CO" sz="1050"/>
        </a:p>
      </xdr:txBody>
    </xdr:sp>
    <xdr:clientData/>
  </xdr:twoCellAnchor>
  <xdr:twoCellAnchor>
    <xdr:from>
      <xdr:col>9</xdr:col>
      <xdr:colOff>985398</xdr:colOff>
      <xdr:row>34</xdr:row>
      <xdr:rowOff>85752</xdr:rowOff>
    </xdr:from>
    <xdr:to>
      <xdr:col>10</xdr:col>
      <xdr:colOff>662482</xdr:colOff>
      <xdr:row>36</xdr:row>
      <xdr:rowOff>226761</xdr:rowOff>
    </xdr:to>
    <xdr:sp macro="" textlink="">
      <xdr:nvSpPr>
        <xdr:cNvPr id="6" name="Llamada ovalada 2">
          <a:extLst>
            <a:ext uri="{FF2B5EF4-FFF2-40B4-BE49-F238E27FC236}">
              <a16:creationId xmlns:a16="http://schemas.microsoft.com/office/drawing/2014/main" id="{B3AAD207-DC06-42B6-B70C-538FE9343C22}"/>
            </a:ext>
          </a:extLst>
        </xdr:cNvPr>
        <xdr:cNvSpPr/>
      </xdr:nvSpPr>
      <xdr:spPr>
        <a:xfrm>
          <a:off x="13812398" y="8023252"/>
          <a:ext cx="1019655" cy="59458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970643</xdr:colOff>
      <xdr:row>34</xdr:row>
      <xdr:rowOff>81643</xdr:rowOff>
    </xdr:from>
    <xdr:to>
      <xdr:col>10</xdr:col>
      <xdr:colOff>723927</xdr:colOff>
      <xdr:row>36</xdr:row>
      <xdr:rowOff>152991</xdr:rowOff>
    </xdr:to>
    <xdr:sp macro="" textlink="">
      <xdr:nvSpPr>
        <xdr:cNvPr id="7" name="CuadroTexto 6">
          <a:extLst>
            <a:ext uri="{FF2B5EF4-FFF2-40B4-BE49-F238E27FC236}">
              <a16:creationId xmlns:a16="http://schemas.microsoft.com/office/drawing/2014/main" id="{4027E397-7FB2-4202-8231-2BEB8D93488C}"/>
            </a:ext>
          </a:extLst>
        </xdr:cNvPr>
        <xdr:cNvSpPr txBox="1"/>
      </xdr:nvSpPr>
      <xdr:spPr>
        <a:xfrm>
          <a:off x="13797643" y="8019143"/>
          <a:ext cx="1095855" cy="524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a:t>INSERTAR</a:t>
          </a:r>
          <a:r>
            <a:rPr lang="es-CO" sz="1050" baseline="0"/>
            <a:t> PORCENTAJES DE AIU</a:t>
          </a:r>
          <a:endParaRPr lang="es-CO"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172721</xdr:colOff>
      <xdr:row>23</xdr:row>
      <xdr:rowOff>123009</xdr:rowOff>
    </xdr:from>
    <xdr:to>
      <xdr:col>13</xdr:col>
      <xdr:colOff>198685</xdr:colOff>
      <xdr:row>35</xdr:row>
      <xdr:rowOff>130629</xdr:rowOff>
    </xdr:to>
    <xdr:pic>
      <xdr:nvPicPr>
        <xdr:cNvPr id="2" name="Imagen 1">
          <a:extLst>
            <a:ext uri="{FF2B5EF4-FFF2-40B4-BE49-F238E27FC236}">
              <a16:creationId xmlns:a16="http://schemas.microsoft.com/office/drawing/2014/main" id="{196A61DF-7E1D-40B1-9A80-FB749D878A8A}"/>
            </a:ext>
          </a:extLst>
        </xdr:cNvPr>
        <xdr:cNvPicPr>
          <a:picLocks noChangeAspect="1" noChangeArrowheads="1"/>
        </xdr:cNvPicPr>
      </xdr:nvPicPr>
      <xdr:blipFill>
        <a:blip xmlns:r="http://schemas.openxmlformats.org/officeDocument/2006/relationships" r:embed="rId1" r:link="rId2" cstate="email">
          <a:extLst>
            <a:ext uri="{28A0092B-C50C-407E-A947-70E740481C1C}">
              <a14:useLocalDpi xmlns:a14="http://schemas.microsoft.com/office/drawing/2010/main"/>
            </a:ext>
          </a:extLst>
        </a:blip>
        <a:srcRect/>
        <a:stretch>
          <a:fillRect/>
        </a:stretch>
      </xdr:blipFill>
      <xdr:spPr bwMode="auto">
        <a:xfrm>
          <a:off x="7659371" y="4548959"/>
          <a:ext cx="4826564" cy="2020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93681</xdr:colOff>
      <xdr:row>3</xdr:row>
      <xdr:rowOff>8860</xdr:rowOff>
    </xdr:from>
    <xdr:to>
      <xdr:col>10</xdr:col>
      <xdr:colOff>667492</xdr:colOff>
      <xdr:row>22</xdr:row>
      <xdr:rowOff>135204</xdr:rowOff>
    </xdr:to>
    <xdr:pic>
      <xdr:nvPicPr>
        <xdr:cNvPr id="3" name="Imagen 2">
          <a:extLst>
            <a:ext uri="{FF2B5EF4-FFF2-40B4-BE49-F238E27FC236}">
              <a16:creationId xmlns:a16="http://schemas.microsoft.com/office/drawing/2014/main" id="{CC516586-813C-4C18-A978-8B3973AD9705}"/>
            </a:ext>
          </a:extLst>
        </xdr:cNvPr>
        <xdr:cNvPicPr>
          <a:picLocks noChangeAspect="1"/>
        </xdr:cNvPicPr>
      </xdr:nvPicPr>
      <xdr:blipFill>
        <a:blip xmlns:r="http://schemas.openxmlformats.org/officeDocument/2006/relationships" r:embed="rId3"/>
        <a:stretch>
          <a:fillRect/>
        </a:stretch>
      </xdr:blipFill>
      <xdr:spPr>
        <a:xfrm>
          <a:off x="7580331" y="1056610"/>
          <a:ext cx="2974111" cy="3339444"/>
        </a:xfrm>
        <a:prstGeom prst="rect">
          <a:avLst/>
        </a:prstGeom>
      </xdr:spPr>
    </xdr:pic>
    <xdr:clientData/>
  </xdr:twoCellAnchor>
  <xdr:twoCellAnchor editAs="oneCell">
    <xdr:from>
      <xdr:col>10</xdr:col>
      <xdr:colOff>460744</xdr:colOff>
      <xdr:row>4</xdr:row>
      <xdr:rowOff>69751</xdr:rowOff>
    </xdr:from>
    <xdr:to>
      <xdr:col>14</xdr:col>
      <xdr:colOff>673395</xdr:colOff>
      <xdr:row>21</xdr:row>
      <xdr:rowOff>92100</xdr:rowOff>
    </xdr:to>
    <xdr:pic>
      <xdr:nvPicPr>
        <xdr:cNvPr id="4" name="Imagen 3">
          <a:extLst>
            <a:ext uri="{FF2B5EF4-FFF2-40B4-BE49-F238E27FC236}">
              <a16:creationId xmlns:a16="http://schemas.microsoft.com/office/drawing/2014/main" id="{D14C4A10-44ED-44CF-BA7B-122CF9956534}"/>
            </a:ext>
          </a:extLst>
        </xdr:cNvPr>
        <xdr:cNvPicPr>
          <a:picLocks noChangeAspect="1"/>
        </xdr:cNvPicPr>
      </xdr:nvPicPr>
      <xdr:blipFill rotWithShape="1">
        <a:blip xmlns:r="http://schemas.openxmlformats.org/officeDocument/2006/relationships" r:embed="rId4"/>
        <a:srcRect l="10238"/>
        <a:stretch/>
      </xdr:blipFill>
      <xdr:spPr>
        <a:xfrm>
          <a:off x="10347694" y="1276251"/>
          <a:ext cx="3413051" cy="2911599"/>
        </a:xfrm>
        <a:prstGeom prst="rect">
          <a:avLst/>
        </a:prstGeom>
      </xdr:spPr>
    </xdr:pic>
    <xdr:clientData/>
  </xdr:twoCellAnchor>
  <xdr:twoCellAnchor editAs="oneCell">
    <xdr:from>
      <xdr:col>6</xdr:col>
      <xdr:colOff>35441</xdr:colOff>
      <xdr:row>42</xdr:row>
      <xdr:rowOff>97465</xdr:rowOff>
    </xdr:from>
    <xdr:to>
      <xdr:col>14</xdr:col>
      <xdr:colOff>702382</xdr:colOff>
      <xdr:row>52</xdr:row>
      <xdr:rowOff>114590</xdr:rowOff>
    </xdr:to>
    <xdr:pic>
      <xdr:nvPicPr>
        <xdr:cNvPr id="5" name="Imagen 4">
          <a:extLst>
            <a:ext uri="{FF2B5EF4-FFF2-40B4-BE49-F238E27FC236}">
              <a16:creationId xmlns:a16="http://schemas.microsoft.com/office/drawing/2014/main" id="{ADBDA107-80D4-4112-BC63-91C958D80F9D}"/>
            </a:ext>
          </a:extLst>
        </xdr:cNvPr>
        <xdr:cNvPicPr>
          <a:picLocks noChangeAspect="1"/>
        </xdr:cNvPicPr>
      </xdr:nvPicPr>
      <xdr:blipFill>
        <a:blip xmlns:r="http://schemas.openxmlformats.org/officeDocument/2006/relationships" r:embed="rId5"/>
        <a:stretch>
          <a:fillRect/>
        </a:stretch>
      </xdr:blipFill>
      <xdr:spPr>
        <a:xfrm>
          <a:off x="6721991" y="7717465"/>
          <a:ext cx="7067741" cy="2957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239486</xdr:colOff>
      <xdr:row>0</xdr:row>
      <xdr:rowOff>54429</xdr:rowOff>
    </xdr:from>
    <xdr:to>
      <xdr:col>0</xdr:col>
      <xdr:colOff>969935</xdr:colOff>
      <xdr:row>2</xdr:row>
      <xdr:rowOff>175986</xdr:rowOff>
    </xdr:to>
    <xdr:pic>
      <xdr:nvPicPr>
        <xdr:cNvPr id="3" name="Imagen 2">
          <a:extLst>
            <a:ext uri="{FF2B5EF4-FFF2-40B4-BE49-F238E27FC236}">
              <a16:creationId xmlns:a16="http://schemas.microsoft.com/office/drawing/2014/main" id="{6E00FB08-80E1-4C84-A11E-847AAF4116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54429"/>
          <a:ext cx="730449" cy="937986"/>
        </a:xfrm>
        <a:prstGeom prst="rect">
          <a:avLst/>
        </a:prstGeom>
      </xdr:spPr>
    </xdr:pic>
    <xdr:clientData/>
  </xdr:twoCellAnchor>
  <xdr:twoCellAnchor editAs="oneCell">
    <xdr:from>
      <xdr:col>0</xdr:col>
      <xdr:colOff>254000</xdr:colOff>
      <xdr:row>0</xdr:row>
      <xdr:rowOff>63500</xdr:rowOff>
    </xdr:from>
    <xdr:to>
      <xdr:col>0</xdr:col>
      <xdr:colOff>984449</xdr:colOff>
      <xdr:row>2</xdr:row>
      <xdr:rowOff>175260</xdr:rowOff>
    </xdr:to>
    <xdr:pic>
      <xdr:nvPicPr>
        <xdr:cNvPr id="4" name="Imagen 3">
          <a:extLst>
            <a:ext uri="{FF2B5EF4-FFF2-40B4-BE49-F238E27FC236}">
              <a16:creationId xmlns:a16="http://schemas.microsoft.com/office/drawing/2014/main" id="{32E74DCD-75F3-4B13-B5A8-AF61CB0A760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54000" y="63500"/>
          <a:ext cx="730449" cy="919480"/>
        </a:xfrm>
        <a:prstGeom prst="rect">
          <a:avLst/>
        </a:prstGeom>
      </xdr:spPr>
    </xdr:pic>
    <xdr:clientData/>
  </xdr:twoCellAnchor>
  <xdr:twoCellAnchor editAs="oneCell">
    <xdr:from>
      <xdr:col>0</xdr:col>
      <xdr:colOff>254000</xdr:colOff>
      <xdr:row>0</xdr:row>
      <xdr:rowOff>63500</xdr:rowOff>
    </xdr:from>
    <xdr:to>
      <xdr:col>0</xdr:col>
      <xdr:colOff>984449</xdr:colOff>
      <xdr:row>2</xdr:row>
      <xdr:rowOff>175260</xdr:rowOff>
    </xdr:to>
    <xdr:pic>
      <xdr:nvPicPr>
        <xdr:cNvPr id="5" name="Imagen 4">
          <a:extLst>
            <a:ext uri="{FF2B5EF4-FFF2-40B4-BE49-F238E27FC236}">
              <a16:creationId xmlns:a16="http://schemas.microsoft.com/office/drawing/2014/main" id="{9089AA5A-8C60-4E84-8BDB-D6019E708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000" y="63500"/>
          <a:ext cx="730449" cy="919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249293</xdr:colOff>
      <xdr:row>0</xdr:row>
      <xdr:rowOff>37274</xdr:rowOff>
    </xdr:from>
    <xdr:ext cx="730669" cy="903795"/>
    <xdr:pic>
      <xdr:nvPicPr>
        <xdr:cNvPr id="2" name="image1.png">
          <a:extLst>
            <a:ext uri="{FF2B5EF4-FFF2-40B4-BE49-F238E27FC236}">
              <a16:creationId xmlns:a16="http://schemas.microsoft.com/office/drawing/2014/main" id="{3BCDE429-F127-412F-8A0C-5D0386BD68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293" y="37274"/>
          <a:ext cx="730669" cy="90379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65314</xdr:colOff>
      <xdr:row>47</xdr:row>
      <xdr:rowOff>87086</xdr:rowOff>
    </xdr:from>
    <xdr:to>
      <xdr:col>1</xdr:col>
      <xdr:colOff>2192139</xdr:colOff>
      <xdr:row>50</xdr:row>
      <xdr:rowOff>293145</xdr:rowOff>
    </xdr:to>
    <xdr:pic>
      <xdr:nvPicPr>
        <xdr:cNvPr id="2" name="Imagen 1">
          <a:extLst>
            <a:ext uri="{FF2B5EF4-FFF2-40B4-BE49-F238E27FC236}">
              <a16:creationId xmlns:a16="http://schemas.microsoft.com/office/drawing/2014/main" id="{52054BB9-CDA3-492F-BF87-81657F2693E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99654" y="12096206"/>
          <a:ext cx="2126825" cy="1097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30</xdr:col>
      <xdr:colOff>315685</xdr:colOff>
      <xdr:row>392</xdr:row>
      <xdr:rowOff>118122</xdr:rowOff>
    </xdr:from>
    <xdr:to>
      <xdr:col>38</xdr:col>
      <xdr:colOff>90514</xdr:colOff>
      <xdr:row>409</xdr:row>
      <xdr:rowOff>35233</xdr:rowOff>
    </xdr:to>
    <xdr:pic>
      <xdr:nvPicPr>
        <xdr:cNvPr id="31" name="Imagen 30">
          <a:extLst>
            <a:ext uri="{FF2B5EF4-FFF2-40B4-BE49-F238E27FC236}">
              <a16:creationId xmlns:a16="http://schemas.microsoft.com/office/drawing/2014/main" id="{0E555F57-52CE-4EC8-B3B1-8B7CCE610AF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4496828" y="77417579"/>
          <a:ext cx="6045000" cy="2965111"/>
        </a:xfrm>
        <a:prstGeom prst="rect">
          <a:avLst/>
        </a:prstGeom>
      </xdr:spPr>
    </xdr:pic>
    <xdr:clientData/>
  </xdr:twoCellAnchor>
  <xdr:twoCellAnchor editAs="oneCell">
    <xdr:from>
      <xdr:col>37</xdr:col>
      <xdr:colOff>10885</xdr:colOff>
      <xdr:row>409</xdr:row>
      <xdr:rowOff>136645</xdr:rowOff>
    </xdr:from>
    <xdr:to>
      <xdr:col>43</xdr:col>
      <xdr:colOff>522584</xdr:colOff>
      <xdr:row>425</xdr:row>
      <xdr:rowOff>6034</xdr:rowOff>
    </xdr:to>
    <xdr:pic>
      <xdr:nvPicPr>
        <xdr:cNvPr id="35" name="Imagen 34">
          <a:extLst>
            <a:ext uri="{FF2B5EF4-FFF2-40B4-BE49-F238E27FC236}">
              <a16:creationId xmlns:a16="http://schemas.microsoft.com/office/drawing/2014/main" id="{D376FE44-01D7-4723-BD75-DF88617E1094}"/>
            </a:ext>
          </a:extLst>
        </xdr:cNvPr>
        <xdr:cNvPicPr>
          <a:picLocks noChangeAspect="1"/>
        </xdr:cNvPicPr>
      </xdr:nvPicPr>
      <xdr:blipFill>
        <a:blip xmlns:r="http://schemas.openxmlformats.org/officeDocument/2006/relationships" r:embed="rId2"/>
        <a:stretch>
          <a:fillRect/>
        </a:stretch>
      </xdr:blipFill>
      <xdr:spPr>
        <a:xfrm>
          <a:off x="39678428" y="80484102"/>
          <a:ext cx="5214327" cy="2656132"/>
        </a:xfrm>
        <a:prstGeom prst="rect">
          <a:avLst/>
        </a:prstGeom>
      </xdr:spPr>
    </xdr:pic>
    <xdr:clientData/>
  </xdr:twoCellAnchor>
  <xdr:twoCellAnchor editAs="oneCell">
    <xdr:from>
      <xdr:col>44</xdr:col>
      <xdr:colOff>0</xdr:colOff>
      <xdr:row>410</xdr:row>
      <xdr:rowOff>0</xdr:rowOff>
    </xdr:from>
    <xdr:to>
      <xdr:col>50</xdr:col>
      <xdr:colOff>401873</xdr:colOff>
      <xdr:row>424</xdr:row>
      <xdr:rowOff>141513</xdr:rowOff>
    </xdr:to>
    <xdr:pic>
      <xdr:nvPicPr>
        <xdr:cNvPr id="36" name="Imagen 35">
          <a:extLst>
            <a:ext uri="{FF2B5EF4-FFF2-40B4-BE49-F238E27FC236}">
              <a16:creationId xmlns:a16="http://schemas.microsoft.com/office/drawing/2014/main" id="{C5A62B4C-8E72-452A-A2CD-3579BB49F16A}"/>
            </a:ext>
          </a:extLst>
        </xdr:cNvPr>
        <xdr:cNvPicPr>
          <a:picLocks noChangeAspect="1"/>
        </xdr:cNvPicPr>
      </xdr:nvPicPr>
      <xdr:blipFill>
        <a:blip xmlns:r="http://schemas.openxmlformats.org/officeDocument/2006/relationships" r:embed="rId3"/>
        <a:stretch>
          <a:fillRect/>
        </a:stretch>
      </xdr:blipFill>
      <xdr:spPr>
        <a:xfrm>
          <a:off x="45153943" y="80521629"/>
          <a:ext cx="5104501" cy="2579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381000</xdr:colOff>
      <xdr:row>33</xdr:row>
      <xdr:rowOff>152400</xdr:rowOff>
    </xdr:from>
    <xdr:to>
      <xdr:col>1</xdr:col>
      <xdr:colOff>1447800</xdr:colOff>
      <xdr:row>36</xdr:row>
      <xdr:rowOff>15263</xdr:rowOff>
    </xdr:to>
    <xdr:pic>
      <xdr:nvPicPr>
        <xdr:cNvPr id="4" name="Imagen 8" descr="Texto&#10;&#10;Descripción generada automáticamente">
          <a:extLst>
            <a:ext uri="{FF2B5EF4-FFF2-40B4-BE49-F238E27FC236}">
              <a16:creationId xmlns:a16="http://schemas.microsoft.com/office/drawing/2014/main" id="{F3BAA35B-913B-434E-8923-6FD748621A8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971550" y="6029325"/>
          <a:ext cx="1066800" cy="510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esupuesto%20T\TIERRA%20BUENA%20FACTIBILIDAD%2010.09.2004%2040%20CASAS%20264%20APARTAMENTOS%20(CD%2015.09.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ledu-my.sharepoint.com/HP/Documentos/MSOFFICE/Excel/SIACE/EXCEL/PPTO98/JAGUA/JAGUA1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laneacionnacional-my.sharepoint.com/AFE/Mining/Admin/Template%20Models/Blank%2027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onte\Downloads\PPTO%20MAICAO.%20LA%20GUAJIRA%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naledu-my.sharepoint.com/MESING/Unidad%20C/00-2004/San%20Pedro/Lagunas/Linea%20de%20Impuls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10%20Presupuesto%20General%20y%20APU%20SISFV%20-%20Plato%20Magdale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PA 50 SMMLV"/>
      <sheetName val="PYG aptos"/>
      <sheetName val="67,15% APT Y 32,85% CASAS ACIDO"/>
      <sheetName val="PYG COMBINADO ACIDO"/>
      <sheetName val="67,15% APT Y 32,85% CASAS"/>
      <sheetName val="PYG COMBINADO"/>
      <sheetName val="FLUJO DE CAJA"/>
      <sheetName val="SUPUES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
      <sheetName val="Gráfico1"/>
      <sheetName val="MD"/>
      <sheetName val="AXD"/>
      <sheetName val="MI"/>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MAIN"/>
      <sheetName val="DIV INC"/>
      <sheetName val="LBO Analysis"/>
      <sheetName val="Multiple"/>
      <sheetName val="Perpetuity"/>
      <sheetName val="DCF 3"/>
      <sheetName val="WACC II"/>
      <sheetName val="S&amp;P"/>
      <sheetName val="Developer Notes"/>
      <sheetName val="EQ. IRR"/>
      <sheetName val="COVEN"/>
      <sheetName val="SUMMARY"/>
      <sheetName val="Reconciliations"/>
      <sheetName val="LTM"/>
      <sheetName val="CREDIT STATS"/>
      <sheetName val="Toggles"/>
      <sheetName val="Data"/>
      <sheetName val="dPrint"/>
      <sheetName val="DropZone"/>
      <sheetName val="mProcess"/>
      <sheetName val="mlError"/>
      <sheetName val="mGlobals"/>
      <sheetName val="mMain"/>
      <sheetName val="mToggles"/>
      <sheetName val="mcFunctions"/>
      <sheetName val="mMisc"/>
      <sheetName val="mdPrint"/>
      <sheetName val="CONS"/>
      <sheetName val="EQUI"/>
      <sheetName val="OTROS 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VALOR"/>
      <sheetName val="Datos"/>
      <sheetName val="Resumen"/>
      <sheetName val="Cronograma y Flujo de Fondos"/>
      <sheetName val="Discriminación Presupuesto"/>
      <sheetName val="PRESUPUESTO GENERAL SEGÚN MGA"/>
      <sheetName val="MPMA"/>
      <sheetName val="Presupesto Interventoría"/>
      <sheetName val="Gerencia Proyecto"/>
      <sheetName val="Gestion Social"/>
      <sheetName val="Fiducia"/>
      <sheetName val="Factor Multiplicador"/>
      <sheetName val="Factor Prestacional"/>
      <sheetName val="Gastos de Legalización"/>
      <sheetName val="Mano de Obra"/>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Equi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didas"/>
      <sheetName val="Curva-sistema"/>
      <sheetName val="Curva.bomba"/>
      <sheetName val="Datos-Gráfica-Apartada"/>
      <sheetName val="Gráf.-Apartada-01"/>
      <sheetName val="Datos Garavito"/>
      <sheetName val="Gráfica Garavito"/>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uarios"/>
      <sheetName val="RENDIMIENTOS"/>
      <sheetName val="EQUIPO Y HERRAMIENTA"/>
      <sheetName val="TRANSPORTE"/>
      <sheetName val="MANO DE OBRA"/>
      <sheetName val="FP"/>
      <sheetName val="ENSAYOS DE LABORATORIO"/>
      <sheetName val="AIU Proyecto"/>
      <sheetName val="Factor Multiplicador"/>
      <sheetName val="APU_PGS"/>
      <sheetName val="ESTUDIO DE MERCADO"/>
      <sheetName val="APU_PMA"/>
      <sheetName val="Presupuesto Interventoría"/>
      <sheetName val="Memoria Civil"/>
      <sheetName val="Cadena de Valor"/>
      <sheetName val="PRES GENERAL MR"/>
      <sheetName val="PRES. SISFV 2010wp"/>
      <sheetName val="PRES MR 5 KW"/>
      <sheetName val="1.1"/>
      <sheetName val="2.1.1"/>
      <sheetName val="2.1.2"/>
      <sheetName val="2.1.3"/>
      <sheetName val="2.1.4"/>
      <sheetName val="2.1.5"/>
      <sheetName val="2.1.6"/>
      <sheetName val="2.1.7"/>
      <sheetName val="2.2.1"/>
      <sheetName val="2.2.2"/>
      <sheetName val="2.3.1"/>
      <sheetName val="2.4.1"/>
      <sheetName val="3.1.1"/>
      <sheetName val="3.1.2"/>
      <sheetName val="3.1.3"/>
      <sheetName val="3.1.4"/>
      <sheetName val="3.1.5"/>
      <sheetName val="3.1.6"/>
      <sheetName val="3.1.7"/>
      <sheetName val="3.1.8"/>
      <sheetName val="3.1.9"/>
      <sheetName val="3.1.10"/>
      <sheetName val="3.1.11"/>
      <sheetName val="3.1.12"/>
      <sheetName val="3.1.13"/>
      <sheetName val="3.1.14"/>
      <sheetName val="3.2.1"/>
      <sheetName val="3.2.2"/>
      <sheetName val="3.2.3"/>
      <sheetName val="3.2.4"/>
      <sheetName val="3.2.5"/>
      <sheetName val="3.2.6"/>
      <sheetName val="3.2.7"/>
      <sheetName val="3.2.8"/>
      <sheetName val="3.2.9"/>
      <sheetName val="3.2.10"/>
      <sheetName val="3.2.11"/>
      <sheetName val="3.2.12"/>
      <sheetName val="3.3.1"/>
      <sheetName val="3.4.1"/>
      <sheetName val="3.4.2"/>
      <sheetName val="3.5.1"/>
      <sheetName val="4.1"/>
      <sheetName val="4.2"/>
      <sheetName val="4.3"/>
      <sheetName val="4.4"/>
      <sheetName val="4.5"/>
      <sheetName val="4.6"/>
      <sheetName val="4.7"/>
      <sheetName val="4.8"/>
      <sheetName val="4.9"/>
      <sheetName val="4.10"/>
      <sheetName val="4.11"/>
      <sheetName val="5.1"/>
      <sheetName val="MATERIALES"/>
      <sheetName val="Equipos importados"/>
      <sheetName val="Cronograma y Flujo de Fondos"/>
      <sheetName val="4"/>
    </sheetNames>
    <sheetDataSet>
      <sheetData sheetId="0" refreshError="1"/>
      <sheetData sheetId="1" refreshError="1"/>
      <sheetData sheetId="2"/>
      <sheetData sheetId="3"/>
      <sheetData sheetId="4"/>
      <sheetData sheetId="5">
        <row r="27">
          <cell r="E27">
            <v>1.61</v>
          </cell>
        </row>
      </sheetData>
      <sheetData sheetId="6" refreshError="1"/>
      <sheetData sheetId="7" refreshError="1"/>
      <sheetData sheetId="8" refreshError="1"/>
      <sheetData sheetId="9" refreshError="1"/>
      <sheetData sheetId="10" refreshError="1"/>
      <sheetData sheetId="11" refreshError="1"/>
      <sheetData sheetId="12" refreshError="1"/>
      <sheetData sheetId="13">
        <row r="165">
          <cell r="F165">
            <v>21.014399999999998</v>
          </cell>
        </row>
      </sheetData>
      <sheetData sheetId="14" refreshError="1"/>
      <sheetData sheetId="15">
        <row r="1">
          <cell r="A1" t="str">
            <v>IMPLEMENTACIÓN DE SOLUCIONES ENERGÉTICAS SOSTENIBLES CON FUENTES NO CONVENCIONALES, PARA LAS COMUNIDADES RURALES DEL MUNICIPIO DE PLATO, DEPARTAMENTO MAGDALENA.</v>
          </cell>
        </row>
      </sheetData>
      <sheetData sheetId="16" refreshError="1"/>
      <sheetData sheetId="17">
        <row r="28">
          <cell r="A28" t="str">
            <v>3.2.8</v>
          </cell>
          <cell r="B28" t="str">
            <v>Suministro, transporte e instalación de envolvente para cuarto de equipos y cuarto de almacenamiento RESPEL (B=3,52 m, L=5,97 m, H=2.3-2.5 m) en estructura interlocking de WPC o similar. Incluye: puertas de acceso en aluminio anodizado, cubierta en teja termo acústica tipo sándwich Blanca por ambas caras. Calibre 28 con caballetes, goteros y rejillas de ventilación en aluminio, según diseño.</v>
          </cell>
          <cell r="C28" t="str">
            <v>m2</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62D098-83A8-4BC0-983E-2A965A515613}" name="Transp." displayName="Transp." ref="A3:F11" totalsRowShown="0" headerRowDxfId="51" headerRowBorderDxfId="50" tableBorderDxfId="49" totalsRowBorderDxfId="48">
  <autoFilter ref="A3:F11" xr:uid="{7F62D098-83A8-4BC0-983E-2A965A515613}"/>
  <tableColumns count="6">
    <tableColumn id="1" xr3:uid="{5F5000B2-7865-422F-9EFF-DAC183C90069}" name="cod," dataDxfId="47"/>
    <tableColumn id="6" xr3:uid="{B0FF3633-4E97-47DE-B7A9-C37BFCDCAC54}" name="Tipo de Transporte2" dataDxfId="46"/>
    <tableColumn id="2" xr3:uid="{E01FBDBF-F81F-4E89-A3FF-EA6B8C2FA334}" name="Origen" dataDxfId="45"/>
    <tableColumn id="3" xr3:uid="{AE8F12A7-94AA-459F-B2B7-DC5A557CFC65}" name="Destino" dataDxfId="44"/>
    <tableColumn id="4" xr3:uid="{62034CBA-3D84-4306-9939-A3ED3C7E18E1}" name="Valor / Persona" dataDxfId="43"/>
    <tableColumn id="5" xr3:uid="{C8EA3120-46D2-4045-A7C3-E426A4655B8A}" name="Valor / Kg"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3684C0-EDE7-4618-854A-6874DCA92E03}" name="Materiales3" displayName="Materiales3" ref="A4:H452" totalsRowShown="0" headerRowDxfId="35" dataDxfId="33" headerRowBorderDxfId="34" tableBorderDxfId="32" totalsRowBorderDxfId="31">
  <autoFilter ref="A4:H452" xr:uid="{00000000-0009-0000-0100-000001000000}"/>
  <tableColumns count="8">
    <tableColumn id="1" xr3:uid="{FFA95C64-7DA0-4166-A422-00E465E67D3C}" name="Codigo" dataDxfId="30"/>
    <tableColumn id="5" xr3:uid="{9571E13D-13E7-462D-B6ED-4F0B5B3AD67C}" name="CATEGORÍA" dataDxfId="29"/>
    <tableColumn id="2" xr3:uid="{F26C4EE4-72DB-4281-B069-16342AA9DA1D}" name="Material" dataDxfId="28"/>
    <tableColumn id="3" xr3:uid="{06FAE055-B6F9-4D39-B0EC-221B7A944847}" name="Unidad" dataDxfId="27"/>
    <tableColumn id="6" xr3:uid="{D5004293-04F4-41B8-9433-0585688B30F8}" name="Peso Kg" dataDxfId="26"/>
    <tableColumn id="4" xr3:uid="{8471C117-D86E-4D70-8E9E-E96C17D86025}" name="Valor Unitario" dataDxfId="25"/>
    <tableColumn id="20" xr3:uid="{F59776AE-CF2E-4D9C-929C-636536ABADFD}" name="PRECIO BASE" dataDxfId="24"/>
    <tableColumn id="19" xr3:uid="{534B682B-FF71-40E3-967C-AFC88D5ED978}" name="AJUSTE POSITIVO" dataDxfId="2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82B3EC-6D36-4DA1-965C-49A513F8BC59}" name="Equipoyherramienta" displayName="Equipoyherramienta" ref="A3:F13" totalsRowShown="0" headerRowDxfId="22" headerRowBorderDxfId="21" tableBorderDxfId="20">
  <autoFilter ref="A3:F13" xr:uid="{6982B3EC-6D36-4DA1-965C-49A513F8BC59}"/>
  <tableColumns count="6">
    <tableColumn id="1" xr3:uid="{336846CE-245A-4FF0-9E63-2821F78C27BC}" name="cod" dataDxfId="19"/>
    <tableColumn id="2" xr3:uid="{F472F5CE-5BEC-4FB1-BBAC-D4FFB5AF4477}" name="Descripción" dataDxfId="18"/>
    <tableColumn id="6" xr3:uid="{92C2F184-E4DF-4892-9A09-DACF0745652A}" name="UNIDAD" dataDxfId="17"/>
    <tableColumn id="3" xr3:uid="{946AF8CF-11E6-42B3-8100-2402BE4131BE}" name="Tarifa / día" dataDxfId="16"/>
    <tableColumn id="4" xr3:uid="{E7656350-F8DE-414A-BA5D-E9B412CA71A0}" name="Fuente" dataDxfId="15" dataCellStyle="Hipervínculo 2"/>
    <tableColumn id="5" xr3:uid="{1C85D6BD-5F6B-450A-8E61-9D6422864981}" name="Fecha" dataDxfId="14">
      <calculatedColumnFormula>+F3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131E29-FE31-4F7C-A223-3A232932F76E}" name="ManoObra" displayName="ManoObra" ref="A12:K33" totalsRowShown="0" headerRowDxfId="13" headerRowBorderDxfId="12" tableBorderDxfId="11">
  <autoFilter ref="A12:K33" xr:uid="{00000000-0009-0000-0100-000002000000}"/>
  <tableColumns count="11">
    <tableColumn id="8" xr3:uid="{3B28F253-1972-4B50-B6A6-208F986A69BE}" name="Código" dataDxfId="10"/>
    <tableColumn id="1" xr3:uid="{987AD682-B05C-479F-807A-1FC9173FAE8A}" name="Cargo" dataDxfId="9"/>
    <tableColumn id="9" xr3:uid="{1FAE7AD2-14B7-4C53-9BF4-AF51A6FF446E}" name="Categoría" dataDxfId="8"/>
    <tableColumn id="2" xr3:uid="{989ECBBE-CA8B-4534-8463-01071443D25F}" name="Valor mensual base" dataDxfId="7" dataCellStyle="Entrada"/>
    <tableColumn id="3" xr3:uid="{A8E552E3-F043-4A2E-9922-C1C3D73EBBF6}" name="Auxilio de transporte" dataDxfId="6">
      <calculatedColumnFormula>IF(G13&gt;2*$C$5,0,$C$6)</calculatedColumnFormula>
    </tableColumn>
    <tableColumn id="4" xr3:uid="{511A0139-36B5-4EE9-A351-27284D357A9C}" name="Margen positivo" dataDxfId="5">
      <calculatedColumnFormula>$C$7</calculatedColumnFormula>
    </tableColumn>
    <tableColumn id="11" xr3:uid="{A8B73C87-774D-40F0-BA9B-43CCAC00890E}" name="Valor mensual proyectado 2026" dataDxfId="4" dataCellStyle="Entrada">
      <calculatedColumnFormula>+ManoObra[[#This Row],[Valor mensual base]]*(1+ManoObra[[#This Row],[Margen positivo]])</calculatedColumnFormula>
    </tableColumn>
    <tableColumn id="5" xr3:uid="{0656355F-6A06-44F0-9758-BFCFD580E566}" name="Valor Jornal" dataDxfId="3">
      <calculatedColumnFormula>ROUND((D13+E13)/$C$8*(1+F13),0)</calculatedColumnFormula>
    </tableColumn>
    <tableColumn id="6" xr3:uid="{9FB3C868-09E5-4C8F-A702-39387FE2E0A4}" name="Fuente" dataDxfId="2" dataCellStyle="Hipervínculo"/>
    <tableColumn id="7" xr3:uid="{79B00831-FE5E-4EDF-86E6-352435F5D95A}" name="Fecha" dataDxfId="1"/>
    <tableColumn id="10" xr3:uid="{360BB187-FBFC-4C40-B01F-0B8DE52B550E}" name="&gt;SMMLV" dataDxfId="0">
      <calculatedColumnFormula>+IF(ManoObra[[#This Row],[Valor mensual base]]&gt;=$C$5,"ok","&lt;SMMLV")</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hyperlink" Target="https://www.homecenter.com.co/homecenter-co/product/677992/guadana-a-gasolina-husqvarna-profesional-545rx/677992/" TargetMode="External"/><Relationship Id="rId7" Type="http://schemas.openxmlformats.org/officeDocument/2006/relationships/hyperlink" Target="https://rentyherramientas.com/product/rol-air-6590hk18-6-1-2-hp-belt-drive-twin-tank-gas-powered-air-compressor/" TargetMode="External"/><Relationship Id="rId2" Type="http://schemas.openxmlformats.org/officeDocument/2006/relationships/hyperlink" Target="https://interelectricas.com.co/puesta-a-tierra/812-molde-grounding-varilla-a-cable-en-t-5-8-a-4.html" TargetMode="External"/><Relationship Id="rId1" Type="http://schemas.openxmlformats.org/officeDocument/2006/relationships/hyperlink" Target="http://cachicamoweb.com/producto/alquiler-de-gps-garmin/" TargetMode="External"/><Relationship Id="rId6" Type="http://schemas.openxmlformats.org/officeDocument/2006/relationships/hyperlink" Target="https://akirento.com/product/vibrador-de-concreto/" TargetMode="External"/><Relationship Id="rId5" Type="http://schemas.openxmlformats.org/officeDocument/2006/relationships/hyperlink" Target="https://akirento.com/product/mezcladora-de-concreto/" TargetMode="External"/><Relationship Id="rId4" Type="http://schemas.openxmlformats.org/officeDocument/2006/relationships/hyperlink" Target="https://akirento.com/product/vibrocompactador-tipo-canguro/" TargetMode="External"/><Relationship Id="rId9" Type="http://schemas.openxmlformats.org/officeDocument/2006/relationships/table" Target="../tables/table3.xml"/></Relationships>
</file>

<file path=xl/worksheets/_rels/sheet69.xml.rels><?xml version="1.0" encoding="UTF-8" standalone="yes"?>
<Relationships xmlns="http://schemas.openxmlformats.org/package/2006/relationships"><Relationship Id="rId8" Type="http://schemas.openxmlformats.org/officeDocument/2006/relationships/hyperlink" Target="https://www.computrabajo.com.co/salarios/contadora-publico" TargetMode="External"/><Relationship Id="rId13" Type="http://schemas.openxmlformats.org/officeDocument/2006/relationships/hyperlink" Target="https://www.computrabajo.com.co/salarios/trabajador-social" TargetMode="External"/><Relationship Id="rId18" Type="http://schemas.openxmlformats.org/officeDocument/2006/relationships/hyperlink" Target="https://www.salariominimocolombia.net/" TargetMode="External"/><Relationship Id="rId3" Type="http://schemas.openxmlformats.org/officeDocument/2006/relationships/hyperlink" Target="https://www.computrabajo.com.co/salarios/oficial-de-obra" TargetMode="External"/><Relationship Id="rId21" Type="http://schemas.openxmlformats.org/officeDocument/2006/relationships/drawing" Target="../drawings/drawing7.xml"/><Relationship Id="rId7" Type="http://schemas.openxmlformats.org/officeDocument/2006/relationships/hyperlink" Target="https://www.computrabajo.com.co/salarios/gerente-general" TargetMode="External"/><Relationship Id="rId12" Type="http://schemas.openxmlformats.org/officeDocument/2006/relationships/hyperlink" Target="https://www.computrabajo.com.co/salarios/ingeniero-civil" TargetMode="External"/><Relationship Id="rId17" Type="http://schemas.openxmlformats.org/officeDocument/2006/relationships/hyperlink" Target="https://co.computrabajo.com/salarios/soldador" TargetMode="External"/><Relationship Id="rId2" Type="http://schemas.openxmlformats.org/officeDocument/2006/relationships/hyperlink" Target="https://www.computrabajo.com.co/salarios/topografoa" TargetMode="External"/><Relationship Id="rId16" Type="http://schemas.openxmlformats.org/officeDocument/2006/relationships/hyperlink" Target="https://www.computrabajo.com.co/salarios/ingeniero-especialista" TargetMode="External"/><Relationship Id="rId20" Type="http://schemas.openxmlformats.org/officeDocument/2006/relationships/printerSettings" Target="../printerSettings/printerSettings69.bin"/><Relationship Id="rId1" Type="http://schemas.openxmlformats.org/officeDocument/2006/relationships/hyperlink" Target="https://www.computrabajo.com.co/salarios/electricista" TargetMode="External"/><Relationship Id="rId6" Type="http://schemas.openxmlformats.org/officeDocument/2006/relationships/hyperlink" Target="https://www.computrabajo.com.co/salarios/ingeniero-electricista" TargetMode="External"/><Relationship Id="rId11" Type="http://schemas.openxmlformats.org/officeDocument/2006/relationships/hyperlink" Target="https://www.computrabajo.com.co/salarios/siso" TargetMode="External"/><Relationship Id="rId5" Type="http://schemas.openxmlformats.org/officeDocument/2006/relationships/hyperlink" Target="https://www.computrabajo.com.co/salarios/directora-de-proyectos" TargetMode="External"/><Relationship Id="rId15" Type="http://schemas.openxmlformats.org/officeDocument/2006/relationships/hyperlink" Target="https://www.computrabajo.com.co/salarios/directora-de-proyectos" TargetMode="External"/><Relationship Id="rId10" Type="http://schemas.openxmlformats.org/officeDocument/2006/relationships/hyperlink" Target="https://www.computrabajo.com.co/salarios/ingeniero-ambiental" TargetMode="External"/><Relationship Id="rId19" Type="http://schemas.openxmlformats.org/officeDocument/2006/relationships/hyperlink" Target="https://co.computrabajo.com/salarios/supervisora-de-obra" TargetMode="External"/><Relationship Id="rId4" Type="http://schemas.openxmlformats.org/officeDocument/2006/relationships/hyperlink" Target="https://www.computrabajo.com.co/salarios/ingenieroa-de-sistemas" TargetMode="External"/><Relationship Id="rId9" Type="http://schemas.openxmlformats.org/officeDocument/2006/relationships/hyperlink" Target="https://www.computrabajo.com.co/salarios/abogadoa" TargetMode="External"/><Relationship Id="rId14" Type="http://schemas.openxmlformats.org/officeDocument/2006/relationships/hyperlink" Target="https://www.computrabajo.com.co/salarios/seguridad-privada" TargetMode="External"/><Relationship Id="rId22"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94FE-E06C-44E2-95C0-68DE759F3038}">
  <sheetPr codeName="Hoja1">
    <pageSetUpPr fitToPage="1"/>
  </sheetPr>
  <dimension ref="B1:K13"/>
  <sheetViews>
    <sheetView view="pageBreakPreview" zoomScale="90" zoomScaleNormal="100" zoomScaleSheetLayoutView="90" workbookViewId="0">
      <selection activeCell="M6" sqref="M6"/>
    </sheetView>
  </sheetViews>
  <sheetFormatPr baseColWidth="10" defaultColWidth="11.453125" defaultRowHeight="12.5"/>
  <cols>
    <col min="1" max="1" width="3.453125" style="107" bestFit="1" customWidth="1"/>
    <col min="2" max="2" width="26.26953125" style="107" customWidth="1"/>
    <col min="3" max="3" width="11.26953125" style="107" customWidth="1"/>
    <col min="4" max="4" width="11.453125" style="107"/>
    <col min="5" max="5" width="12.26953125" style="107" customWidth="1"/>
    <col min="6" max="9" width="11.453125" style="107"/>
    <col min="10" max="10" width="13.7265625" style="107" customWidth="1"/>
    <col min="11" max="16384" width="11.453125" style="107"/>
  </cols>
  <sheetData>
    <row r="1" spans="2:11" ht="55.9" customHeight="1">
      <c r="B1" s="506" t="str">
        <f>+'PRES GENERAL MR'!A1</f>
        <v>IMPLEMENTACIÓN DE SOLUCIONES ENERGÉTICAS SOSTENIBLES CON FUENTES NO CONVENCIONALES, PARA LAS COMUNIDADES RURALES DEL MUNICIPIO DE PLATO, DEPARTAMENTO MAGDALENA.</v>
      </c>
      <c r="C1" s="507"/>
      <c r="D1" s="507"/>
      <c r="E1" s="507"/>
      <c r="F1" s="507"/>
      <c r="G1" s="507"/>
      <c r="H1" s="507"/>
      <c r="I1" s="507"/>
      <c r="J1" s="507"/>
      <c r="K1" s="508"/>
    </row>
    <row r="2" spans="2:11" ht="13">
      <c r="D2" s="509" t="s">
        <v>0</v>
      </c>
      <c r="E2" s="509"/>
      <c r="F2" s="509"/>
      <c r="G2" s="509"/>
      <c r="H2" s="509"/>
      <c r="I2" s="509"/>
      <c r="J2" s="509"/>
      <c r="K2" s="509"/>
    </row>
    <row r="3" spans="2:11" ht="13.15" customHeight="1">
      <c r="B3" s="505" t="s">
        <v>1</v>
      </c>
      <c r="C3" s="505" t="s">
        <v>2</v>
      </c>
      <c r="D3" s="510" t="s">
        <v>3</v>
      </c>
      <c r="E3" s="510"/>
      <c r="F3" s="511" t="s">
        <v>4</v>
      </c>
      <c r="G3" s="511"/>
      <c r="H3" s="512" t="s">
        <v>5</v>
      </c>
      <c r="I3" s="512"/>
      <c r="J3" s="316" t="s">
        <v>6</v>
      </c>
      <c r="K3" s="513" t="s">
        <v>7</v>
      </c>
    </row>
    <row r="4" spans="2:11" ht="29">
      <c r="B4" s="505"/>
      <c r="C4" s="505"/>
      <c r="D4" s="317" t="s">
        <v>8</v>
      </c>
      <c r="E4" s="317" t="s">
        <v>9</v>
      </c>
      <c r="F4" s="318" t="s">
        <v>8</v>
      </c>
      <c r="G4" s="318" t="s">
        <v>10</v>
      </c>
      <c r="H4" s="319" t="s">
        <v>8</v>
      </c>
      <c r="I4" s="319" t="s">
        <v>11</v>
      </c>
      <c r="J4" s="320" t="s">
        <v>2</v>
      </c>
      <c r="K4" s="513"/>
    </row>
    <row r="5" spans="2:11">
      <c r="B5" s="249" t="s">
        <v>12</v>
      </c>
      <c r="C5" s="248">
        <v>604</v>
      </c>
      <c r="D5" s="248">
        <v>0</v>
      </c>
      <c r="E5" s="248">
        <v>0</v>
      </c>
      <c r="F5" s="248">
        <v>0</v>
      </c>
      <c r="G5" s="248">
        <v>0</v>
      </c>
      <c r="H5" s="248">
        <v>0</v>
      </c>
      <c r="I5" s="248">
        <v>0</v>
      </c>
      <c r="J5" s="248">
        <f>C5-E5-G5-I5</f>
        <v>604</v>
      </c>
      <c r="K5" s="248">
        <f>+E5+G5+I5+J5</f>
        <v>604</v>
      </c>
    </row>
    <row r="6" spans="2:11">
      <c r="B6" s="249" t="s">
        <v>13</v>
      </c>
      <c r="C6" s="248">
        <v>56</v>
      </c>
      <c r="D6" s="248">
        <v>0</v>
      </c>
      <c r="E6" s="248">
        <v>0</v>
      </c>
      <c r="F6" s="248">
        <v>0</v>
      </c>
      <c r="G6" s="248">
        <v>0</v>
      </c>
      <c r="H6" s="248">
        <v>2</v>
      </c>
      <c r="I6" s="248">
        <v>11</v>
      </c>
      <c r="J6" s="248">
        <f>C6-E6-G6-I6</f>
        <v>45</v>
      </c>
      <c r="K6" s="248">
        <f>+E6+G6+I6+J6</f>
        <v>56</v>
      </c>
    </row>
    <row r="7" spans="2:11" ht="13">
      <c r="B7" s="321" t="s">
        <v>7</v>
      </c>
      <c r="C7" s="322">
        <f>SUM(C5:C6)</f>
        <v>660</v>
      </c>
      <c r="D7" s="322">
        <f t="shared" ref="D7:K7" si="0">SUM(D5:D6)</f>
        <v>0</v>
      </c>
      <c r="E7" s="322">
        <f t="shared" si="0"/>
        <v>0</v>
      </c>
      <c r="F7" s="322">
        <f t="shared" si="0"/>
        <v>0</v>
      </c>
      <c r="G7" s="322">
        <f t="shared" si="0"/>
        <v>0</v>
      </c>
      <c r="H7" s="322">
        <f t="shared" si="0"/>
        <v>2</v>
      </c>
      <c r="I7" s="322">
        <f t="shared" si="0"/>
        <v>11</v>
      </c>
      <c r="J7" s="322">
        <f t="shared" si="0"/>
        <v>649</v>
      </c>
      <c r="K7" s="322">
        <f t="shared" si="0"/>
        <v>660</v>
      </c>
    </row>
    <row r="12" spans="2:11" ht="13">
      <c r="B12" s="171"/>
    </row>
    <row r="13" spans="2:11" ht="13">
      <c r="B13" s="138"/>
    </row>
  </sheetData>
  <mergeCells count="8">
    <mergeCell ref="B3:B4"/>
    <mergeCell ref="C3:C4"/>
    <mergeCell ref="B1:K1"/>
    <mergeCell ref="D2:K2"/>
    <mergeCell ref="D3:E3"/>
    <mergeCell ref="F3:G3"/>
    <mergeCell ref="H3:I3"/>
    <mergeCell ref="K3:K4"/>
  </mergeCells>
  <pageMargins left="0.70866141732283472" right="0.70866141732283472" top="0.74803149606299213" bottom="0.74803149606299213" header="0.31496062992125984" footer="0.31496062992125984"/>
  <pageSetup scale="67"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22E0-98BC-403B-B542-9AB113A011A5}">
  <sheetPr codeName="Hoja18">
    <tabColor theme="4" tint="0.79998168889431442"/>
    <pageSetUpPr fitToPage="1"/>
  </sheetPr>
  <dimension ref="A1:F39"/>
  <sheetViews>
    <sheetView showGridLines="0" view="pageBreakPreview" zoomScale="76" zoomScaleNormal="120" zoomScaleSheetLayoutView="76" workbookViewId="0">
      <selection activeCell="A4" sqref="A4:A38"/>
    </sheetView>
  </sheetViews>
  <sheetFormatPr baseColWidth="10" defaultColWidth="11.453125" defaultRowHeight="12.5"/>
  <cols>
    <col min="1" max="1" width="11.453125" style="29"/>
    <col min="2" max="2" width="46.54296875" style="29" customWidth="1"/>
    <col min="3" max="3" width="12.54296875" style="29" customWidth="1"/>
    <col min="4" max="4" width="14.453125" style="29" customWidth="1"/>
    <col min="5" max="5" width="12.7265625" style="29" customWidth="1"/>
    <col min="6" max="6" width="15.26953125" style="29" customWidth="1"/>
    <col min="7" max="7" width="6.26953125" style="29" customWidth="1"/>
    <col min="8" max="8" width="11.453125" style="29"/>
    <col min="9" max="9" width="11.7265625" style="29" bestFit="1" customWidth="1"/>
    <col min="10" max="16384" width="11.453125" style="29"/>
  </cols>
  <sheetData>
    <row r="1" spans="1:6" ht="18.75" customHeight="1">
      <c r="B1" s="648" t="str">
        <f>+'PRES GENERAL MR'!$A$1</f>
        <v>IMPLEMENTACIÓN DE SOLUCIONES ENERGÉTICAS SOSTENIBLES CON FUENTES NO CONVENCIONALES, PARA LAS COMUNIDADES RURALES DEL MUNICIPIO DE PLATO, DEPARTAMENTO MAGDALENA.</v>
      </c>
      <c r="C1" s="648"/>
      <c r="D1" s="648"/>
      <c r="E1" s="648"/>
      <c r="F1" s="648"/>
    </row>
    <row r="3" spans="1:6" ht="12.75" customHeight="1">
      <c r="B3" s="30" t="s">
        <v>651</v>
      </c>
      <c r="C3" s="31" t="str">
        <f>+'PRES GENERAL MR'!A5</f>
        <v>1.1</v>
      </c>
      <c r="D3" s="31"/>
      <c r="E3" s="31"/>
      <c r="F3" s="32" t="s">
        <v>652</v>
      </c>
    </row>
    <row r="4" spans="1:6" ht="26.5" customHeight="1">
      <c r="B4" s="649" t="str">
        <f>+'PRES GENERAL MR'!B5</f>
        <v>Realizar Replanteo de obra</v>
      </c>
      <c r="C4" s="650"/>
      <c r="D4" s="651"/>
      <c r="F4" s="33" t="str">
        <f>+'PRES GENERAL MR'!C5</f>
        <v>UN</v>
      </c>
    </row>
    <row r="5" spans="1:6" ht="13">
      <c r="B5" s="34"/>
      <c r="F5" s="35"/>
    </row>
    <row r="6" spans="1:6" ht="13">
      <c r="B6" s="36" t="s">
        <v>653</v>
      </c>
    </row>
    <row r="7" spans="1:6" ht="13">
      <c r="A7" s="88" t="s">
        <v>138</v>
      </c>
      <c r="B7" s="37" t="s">
        <v>19</v>
      </c>
      <c r="C7" s="38" t="s">
        <v>284</v>
      </c>
      <c r="D7" s="38" t="s">
        <v>48</v>
      </c>
      <c r="E7" s="38" t="s">
        <v>285</v>
      </c>
      <c r="F7" s="38" t="s">
        <v>286</v>
      </c>
    </row>
    <row r="8" spans="1:6" ht="13.15" customHeight="1">
      <c r="A8" s="89"/>
      <c r="B8" s="39"/>
      <c r="C8" s="40"/>
      <c r="D8" s="41"/>
      <c r="E8" s="42"/>
      <c r="F8" s="42"/>
    </row>
    <row r="9" spans="1:6" ht="14.5">
      <c r="A9" s="89"/>
      <c r="B9" s="43"/>
      <c r="C9" s="44"/>
      <c r="D9" s="45"/>
      <c r="E9" s="46"/>
      <c r="F9" s="46"/>
    </row>
    <row r="10" spans="1:6" ht="14.5">
      <c r="A10" s="89"/>
      <c r="B10" s="43"/>
      <c r="C10" s="44"/>
      <c r="D10" s="45"/>
      <c r="E10" s="46"/>
      <c r="F10" s="46"/>
    </row>
    <row r="11" spans="1:6" ht="14.5">
      <c r="A11" s="89"/>
      <c r="B11" s="43"/>
      <c r="C11" s="44"/>
      <c r="D11" s="45"/>
      <c r="E11" s="46"/>
      <c r="F11" s="46"/>
    </row>
    <row r="12" spans="1:6" ht="14.5">
      <c r="A12" s="89"/>
      <c r="B12" s="43"/>
      <c r="C12" s="44"/>
      <c r="D12" s="45"/>
      <c r="E12" s="46"/>
      <c r="F12" s="46"/>
    </row>
    <row r="13" spans="1:6" ht="13">
      <c r="D13" s="47"/>
      <c r="E13" s="48" t="s">
        <v>654</v>
      </c>
      <c r="F13" s="49">
        <f>ROUND(SUM(F8:F12),0)</f>
        <v>0</v>
      </c>
    </row>
    <row r="15" spans="1:6" ht="13">
      <c r="B15" s="50" t="s">
        <v>655</v>
      </c>
    </row>
    <row r="16" spans="1:6" ht="13">
      <c r="A16" s="88" t="s">
        <v>138</v>
      </c>
      <c r="B16" s="37" t="s">
        <v>19</v>
      </c>
      <c r="C16" s="38" t="s">
        <v>48</v>
      </c>
      <c r="D16" s="38" t="s">
        <v>656</v>
      </c>
      <c r="E16" s="38" t="s">
        <v>21</v>
      </c>
      <c r="F16" s="38" t="s">
        <v>286</v>
      </c>
    </row>
    <row r="17" spans="1:6" ht="14.5">
      <c r="A17" s="89">
        <v>2</v>
      </c>
      <c r="B17" s="43" t="str">
        <f>VLOOKUP(A17,Equipoyherramienta[],2,FALSE)</f>
        <v>GPS</v>
      </c>
      <c r="C17" s="44">
        <v>1</v>
      </c>
      <c r="D17" s="51"/>
      <c r="E17" s="45"/>
      <c r="F17" s="51"/>
    </row>
    <row r="18" spans="1:6" ht="14.5">
      <c r="A18" s="89">
        <v>4</v>
      </c>
      <c r="B18" s="43" t="str">
        <f>VLOOKUP(A18,Equipoyherramienta[],2,FALSE)</f>
        <v>Camara y comunicaciones</v>
      </c>
      <c r="C18" s="44">
        <v>1</v>
      </c>
      <c r="D18" s="51"/>
      <c r="E18" s="45"/>
      <c r="F18" s="51"/>
    </row>
    <row r="19" spans="1:6">
      <c r="B19" s="43"/>
      <c r="C19" s="44"/>
      <c r="D19" s="46"/>
      <c r="E19" s="52"/>
      <c r="F19" s="53"/>
    </row>
    <row r="20" spans="1:6" ht="13">
      <c r="D20" s="47"/>
      <c r="E20" s="48" t="s">
        <v>654</v>
      </c>
      <c r="F20" s="49">
        <f>ROUND(SUM(F17:F19),0)</f>
        <v>0</v>
      </c>
    </row>
    <row r="21" spans="1:6" ht="13">
      <c r="D21" s="47"/>
      <c r="E21" s="47"/>
      <c r="F21" s="54"/>
    </row>
    <row r="22" spans="1:6" ht="13">
      <c r="B22" s="36" t="s">
        <v>657</v>
      </c>
      <c r="F22" s="55"/>
    </row>
    <row r="23" spans="1:6" ht="13">
      <c r="A23" s="88" t="s">
        <v>138</v>
      </c>
      <c r="B23" s="37" t="s">
        <v>19</v>
      </c>
      <c r="C23" s="38" t="s">
        <v>658</v>
      </c>
      <c r="D23" s="38" t="s">
        <v>659</v>
      </c>
      <c r="E23" s="38" t="s">
        <v>21</v>
      </c>
      <c r="F23" s="56" t="s">
        <v>286</v>
      </c>
    </row>
    <row r="24" spans="1:6" ht="19.149999999999999" customHeight="1">
      <c r="A24" s="89"/>
      <c r="B24" s="57" t="s">
        <v>660</v>
      </c>
      <c r="C24" s="41">
        <v>2</v>
      </c>
      <c r="D24" s="58"/>
      <c r="E24" s="60"/>
      <c r="F24" s="59"/>
    </row>
    <row r="25" spans="1:6" ht="14.5" customHeight="1">
      <c r="B25" s="57"/>
      <c r="C25" s="40"/>
      <c r="D25" s="41"/>
      <c r="E25" s="59"/>
      <c r="F25" s="59"/>
    </row>
    <row r="26" spans="1:6" ht="13">
      <c r="D26" s="47"/>
      <c r="E26" s="61" t="s">
        <v>654</v>
      </c>
      <c r="F26" s="49">
        <f>ROUND(SUM(F24:F25),0)</f>
        <v>0</v>
      </c>
    </row>
    <row r="27" spans="1:6" ht="13">
      <c r="D27" s="47"/>
      <c r="F27" s="54"/>
    </row>
    <row r="28" spans="1:6" ht="13">
      <c r="B28" s="36" t="s">
        <v>661</v>
      </c>
      <c r="D28" s="62"/>
      <c r="E28" s="63"/>
      <c r="F28" s="55"/>
    </row>
    <row r="29" spans="1:6" s="47" customFormat="1" ht="13">
      <c r="A29" s="88" t="s">
        <v>138</v>
      </c>
      <c r="B29" s="38" t="s">
        <v>19</v>
      </c>
      <c r="C29" s="38" t="s">
        <v>662</v>
      </c>
      <c r="D29" s="38" t="s">
        <v>663</v>
      </c>
      <c r="E29" s="38" t="s">
        <v>21</v>
      </c>
      <c r="F29" s="56" t="s">
        <v>286</v>
      </c>
    </row>
    <row r="30" spans="1:6" ht="14.5">
      <c r="A30" s="89"/>
      <c r="B30" s="64" t="str">
        <f>+'MANO DE OBRA'!B15</f>
        <v>Topografo</v>
      </c>
      <c r="C30" s="65">
        <f>+'MANO DE OBRA'!H15</f>
        <v>0</v>
      </c>
      <c r="D30" s="52">
        <f>+FP!E27</f>
        <v>0</v>
      </c>
      <c r="E30" s="45">
        <f>+E17</f>
        <v>0</v>
      </c>
      <c r="F30" s="51" t="e">
        <f>ROUND(C30*D30/E30,0)</f>
        <v>#DIV/0!</v>
      </c>
    </row>
    <row r="31" spans="1:6" ht="14.5">
      <c r="A31" s="89"/>
      <c r="B31" s="64" t="str">
        <f>+'MANO DE OBRA'!B14</f>
        <v>Ayudante</v>
      </c>
      <c r="C31" s="65">
        <f>+'MANO DE OBRA'!H14</f>
        <v>0</v>
      </c>
      <c r="D31" s="52">
        <f>+FP!E27</f>
        <v>0</v>
      </c>
      <c r="E31" s="45">
        <f>+E30</f>
        <v>0</v>
      </c>
      <c r="F31" s="51" t="e">
        <f>ROUND(C31*D31/E31,0)</f>
        <v>#DIV/0!</v>
      </c>
    </row>
    <row r="33" spans="2:6" ht="13">
      <c r="D33" s="47"/>
      <c r="E33" s="48" t="s">
        <v>654</v>
      </c>
      <c r="F33" s="49" t="e">
        <f>SUM(F30:F32)</f>
        <v>#DIV/0!</v>
      </c>
    </row>
    <row r="34" spans="2:6" ht="13">
      <c r="D34" s="47"/>
      <c r="F34" s="55"/>
    </row>
    <row r="35" spans="2:6" ht="12.75" customHeight="1">
      <c r="D35" s="652" t="s">
        <v>664</v>
      </c>
      <c r="E35" s="653"/>
      <c r="F35" s="66" t="e">
        <f>F13+F20+F26+F33</f>
        <v>#DIV/0!</v>
      </c>
    </row>
    <row r="37" spans="2:6">
      <c r="B37" s="67"/>
      <c r="C37"/>
    </row>
    <row r="38" spans="2:6">
      <c r="B38" s="67"/>
      <c r="C38" s="67"/>
    </row>
    <row r="39" spans="2:6">
      <c r="B39" s="67"/>
      <c r="C39" s="68"/>
    </row>
  </sheetData>
  <mergeCells count="3">
    <mergeCell ref="B1:F1"/>
    <mergeCell ref="B4:D4"/>
    <mergeCell ref="D35:E35"/>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26D9-6787-486F-A0A0-C96930389E7E}">
  <sheetPr codeName="Hoja19">
    <tabColor theme="4" tint="0.59999389629810485"/>
    <pageSetUpPr fitToPage="1"/>
  </sheetPr>
  <dimension ref="A1:G37"/>
  <sheetViews>
    <sheetView showGridLines="0" view="pageBreakPreview" zoomScale="80" zoomScaleNormal="120" zoomScaleSheetLayoutView="80" workbookViewId="0">
      <selection activeCell="A36" sqref="A10:A36"/>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2010wp'!A6</f>
        <v>2.1.1</v>
      </c>
      <c r="D3" s="31"/>
      <c r="E3" s="31"/>
      <c r="F3" s="31"/>
      <c r="G3" s="32" t="s">
        <v>652</v>
      </c>
    </row>
    <row r="4" spans="1:7" ht="99.65" customHeight="1">
      <c r="B4" s="649" t="str">
        <f>+'PRES. SISFV 2010wp'!B6</f>
        <v>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v>
      </c>
      <c r="C4" s="655"/>
      <c r="D4" s="655"/>
      <c r="E4" s="656"/>
      <c r="G4" s="33" t="str">
        <f>+'PRES. SISFV 2010wp'!C6</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25">
      <c r="A8" s="89">
        <v>361</v>
      </c>
      <c r="B8" s="69" t="str">
        <f>VLOOKUP(A8,Materiales3[],3,FALSE)</f>
        <v>Módulo solar fotovoltaico monocristalino tipo PERC "Half Cell" TIER 1 de 670 Wp</v>
      </c>
      <c r="C8" s="40" t="str">
        <f>VLOOKUP(A8,Materiales3[],4,FALSE)</f>
        <v>UN</v>
      </c>
      <c r="D8" s="41">
        <v>3</v>
      </c>
      <c r="E8" s="40">
        <f>VLOOKUP(A8,Materiales3[],5,FALSE)*D8</f>
        <v>115.5</v>
      </c>
      <c r="F8" s="42">
        <f>VLOOKUP(A8,Materiales3[],6,FALSE)</f>
        <v>0</v>
      </c>
      <c r="G8" s="42">
        <f>D8*F8</f>
        <v>0</v>
      </c>
    </row>
    <row r="9" spans="1:7" ht="14.5">
      <c r="A9" s="4">
        <v>3</v>
      </c>
      <c r="B9" s="69" t="str">
        <f>VLOOKUP(A9,Materiales3[],3,FALSE)</f>
        <v>Conector MC4 (Macho o Hembra)</v>
      </c>
      <c r="C9" s="40" t="str">
        <f>VLOOKUP(A9,Materiales3[],4,FALSE)</f>
        <v>UN</v>
      </c>
      <c r="D9" s="41">
        <v>4</v>
      </c>
      <c r="E9" s="40">
        <f>VLOOKUP(A9,Materiales3[],5,FALSE)*D9</f>
        <v>0.4</v>
      </c>
      <c r="F9" s="42">
        <f>VLOOKUP(A9,Materiales3[],6,FALSE)</f>
        <v>0</v>
      </c>
      <c r="G9" s="42">
        <f t="shared" ref="G9" si="0">D9*F9</f>
        <v>0</v>
      </c>
    </row>
    <row r="10" spans="1:7" ht="14.5">
      <c r="A10" s="4">
        <v>397</v>
      </c>
      <c r="B10" s="69" t="str">
        <f>VLOOKUP(A10,Materiales3[],3,FALSE)</f>
        <v>caja de conexión IP 68</v>
      </c>
      <c r="C10" s="40" t="str">
        <f>VLOOKUP(A10,Materiales3[],4,FALSE)</f>
        <v>UN</v>
      </c>
      <c r="D10" s="72">
        <v>1</v>
      </c>
      <c r="E10" s="40">
        <f>VLOOKUP(A10,Materiales3[],5,FALSE)*D10</f>
        <v>0.5</v>
      </c>
      <c r="F10" s="42">
        <f>VLOOKUP(A10,Materiales3[],6,FALSE)</f>
        <v>0</v>
      </c>
      <c r="G10" s="42">
        <f t="shared" ref="G10:G13" si="1">D10*F10</f>
        <v>0</v>
      </c>
    </row>
    <row r="11" spans="1:7" ht="14.5">
      <c r="A11" s="4">
        <v>24</v>
      </c>
      <c r="B11" s="69" t="str">
        <f>VLOOKUP(A11,Materiales3[],3,FALSE)</f>
        <v>Borna para ponchar varios calibres y terminales</v>
      </c>
      <c r="C11" s="40" t="str">
        <f>VLOOKUP(A11,Materiales3[],4,FALSE)</f>
        <v>UN</v>
      </c>
      <c r="D11" s="72">
        <v>2</v>
      </c>
      <c r="E11" s="40">
        <f>VLOOKUP(A11,Materiales3[],5,FALSE)*D11</f>
        <v>1.6E-2</v>
      </c>
      <c r="F11" s="42">
        <f>VLOOKUP(A11,Materiales3[],6,FALSE)</f>
        <v>0</v>
      </c>
      <c r="G11" s="42">
        <f t="shared" si="1"/>
        <v>0</v>
      </c>
    </row>
    <row r="12" spans="1:7" ht="14.5">
      <c r="A12" s="4">
        <v>132</v>
      </c>
      <c r="B12" s="69" t="str">
        <f>VLOOKUP(A12,Materiales3[],3,FALSE)&amp;" Verde"</f>
        <v>Cable Cu THHN 10 AWG Verde</v>
      </c>
      <c r="C12" s="40" t="str">
        <f>VLOOKUP(A12,Materiales3[],4,FALSE)</f>
        <v>ML</v>
      </c>
      <c r="D12" s="72">
        <v>2.52</v>
      </c>
      <c r="E12" s="40">
        <f>VLOOKUP(A12,Materiales3[],5,FALSE)*D12</f>
        <v>0.14868000000000001</v>
      </c>
      <c r="F12" s="42">
        <f>VLOOKUP(A12,Materiales3[],6,FALSE)</f>
        <v>0</v>
      </c>
      <c r="G12" s="42">
        <f t="shared" ref="G12" si="2">D12*F12</f>
        <v>0</v>
      </c>
    </row>
    <row r="13" spans="1:7" ht="14.5">
      <c r="A13" s="4">
        <v>234</v>
      </c>
      <c r="B13" s="69" t="str">
        <f>VLOOKUP(A13,Materiales3[],3,FALSE)</f>
        <v>Cable Cu solar XLPE 6mm 1kV 120 °C</v>
      </c>
      <c r="C13" s="40" t="str">
        <f>VLOOKUP(A13,Materiales3[],4,FALSE)</f>
        <v>ML</v>
      </c>
      <c r="D13" s="72">
        <f>1.33*4</f>
        <v>5.32</v>
      </c>
      <c r="E13" s="40">
        <f>VLOOKUP(A13,Materiales3[],5,FALSE)*D13</f>
        <v>0.34686400000000001</v>
      </c>
      <c r="F13" s="42">
        <f>VLOOKUP(A13,Materiales3[],6,FALSE)</f>
        <v>0</v>
      </c>
      <c r="G13" s="42">
        <f t="shared" si="1"/>
        <v>0</v>
      </c>
    </row>
    <row r="14" spans="1:7" ht="13">
      <c r="D14" s="47"/>
      <c r="E14" s="47"/>
      <c r="F14" s="48" t="s">
        <v>654</v>
      </c>
      <c r="G14" s="49">
        <f>SUM(G8:G13)</f>
        <v>0</v>
      </c>
    </row>
    <row r="15" spans="1:7">
      <c r="G15" s="73"/>
    </row>
    <row r="16" spans="1:7" ht="13">
      <c r="B16" s="50" t="s">
        <v>655</v>
      </c>
      <c r="G16" s="74"/>
    </row>
    <row r="17" spans="1:7" ht="13">
      <c r="A17" s="88" t="s">
        <v>138</v>
      </c>
      <c r="B17" s="37" t="s">
        <v>19</v>
      </c>
      <c r="C17" s="38" t="s">
        <v>665</v>
      </c>
      <c r="D17" s="38" t="s">
        <v>656</v>
      </c>
      <c r="E17" s="38"/>
      <c r="F17" s="38" t="s">
        <v>21</v>
      </c>
      <c r="G17" s="38" t="s">
        <v>286</v>
      </c>
    </row>
    <row r="18" spans="1:7" ht="14.5">
      <c r="A18" s="89">
        <v>1</v>
      </c>
      <c r="B18" s="43" t="str">
        <f>VLOOKUP(A18,Equipoyherramienta[],2,FALSE)</f>
        <v>Herramienta menor</v>
      </c>
      <c r="C18" s="44" t="str">
        <f>VLOOKUP(A18,Equipoyherramienta[],3,FALSE)</f>
        <v>UN</v>
      </c>
      <c r="D18" s="51">
        <f>VLOOKUP(A18,Equipoyherramienta[],4,FALSE)</f>
        <v>0</v>
      </c>
      <c r="E18" s="51"/>
      <c r="F18" s="71">
        <f>+RENDIMIENTOS!$C$15/3</f>
        <v>3</v>
      </c>
      <c r="G18" s="51">
        <f>ROUND(D18/F18,0)</f>
        <v>0</v>
      </c>
    </row>
    <row r="19" spans="1:7">
      <c r="B19" s="43"/>
      <c r="C19" s="44"/>
      <c r="D19" s="46"/>
      <c r="E19" s="46"/>
      <c r="F19" s="52"/>
      <c r="G19" s="53"/>
    </row>
    <row r="20" spans="1:7">
      <c r="B20" s="43"/>
      <c r="C20" s="44"/>
      <c r="D20" s="46"/>
      <c r="E20" s="46"/>
      <c r="F20" s="52"/>
      <c r="G20" s="53"/>
    </row>
    <row r="21" spans="1:7" ht="13">
      <c r="D21" s="47"/>
      <c r="E21" s="47"/>
      <c r="F21" s="48" t="s">
        <v>654</v>
      </c>
      <c r="G21" s="49">
        <f>SUM(G18:G20)</f>
        <v>0</v>
      </c>
    </row>
    <row r="22" spans="1:7" ht="13">
      <c r="D22" s="47"/>
      <c r="E22" s="47"/>
      <c r="F22" s="47"/>
      <c r="G22" s="54"/>
    </row>
    <row r="23" spans="1:7" ht="13">
      <c r="B23" s="36" t="s">
        <v>657</v>
      </c>
      <c r="G23" s="55"/>
    </row>
    <row r="24" spans="1:7" ht="13">
      <c r="A24" s="88" t="s">
        <v>138</v>
      </c>
      <c r="B24" s="37" t="s">
        <v>19</v>
      </c>
      <c r="C24" s="38" t="s">
        <v>284</v>
      </c>
      <c r="D24" s="38" t="s">
        <v>410</v>
      </c>
      <c r="E24" s="38"/>
      <c r="F24" s="38" t="s">
        <v>666</v>
      </c>
      <c r="G24" s="56" t="s">
        <v>286</v>
      </c>
    </row>
    <row r="25" spans="1:7"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SUM(E8:E13)</f>
        <v>116.91154400000001</v>
      </c>
      <c r="E25" s="41"/>
      <c r="F25" s="59">
        <f>VLOOKUP(A25,Transp.[],6,FALSE)</f>
        <v>0</v>
      </c>
      <c r="G25" s="59">
        <f>D25*F25</f>
        <v>0</v>
      </c>
    </row>
    <row r="26" spans="1:7" ht="13.15" customHeight="1">
      <c r="A26" s="89"/>
      <c r="B26" s="57"/>
      <c r="C26" s="40"/>
      <c r="D26" s="41"/>
      <c r="E26" s="41"/>
      <c r="F26" s="59"/>
      <c r="G26" s="59"/>
    </row>
    <row r="27" spans="1:7" ht="13.15" customHeight="1">
      <c r="A27" s="89"/>
      <c r="B27" s="57"/>
      <c r="C27" s="40"/>
      <c r="D27" s="41"/>
      <c r="E27" s="41"/>
      <c r="F27" s="59"/>
      <c r="G27" s="59"/>
    </row>
    <row r="28" spans="1:7" ht="13">
      <c r="D28" s="47"/>
      <c r="E28" s="47"/>
      <c r="F28" s="61" t="s">
        <v>654</v>
      </c>
      <c r="G28" s="49">
        <f>SUM(G25:G27)</f>
        <v>0</v>
      </c>
    </row>
    <row r="30" spans="1:7" ht="13">
      <c r="B30" s="36" t="s">
        <v>661</v>
      </c>
      <c r="D30" s="62"/>
      <c r="E30" s="62"/>
      <c r="F30" s="63"/>
      <c r="G30" s="55"/>
    </row>
    <row r="31" spans="1:7" s="47" customFormat="1" ht="13">
      <c r="A31" s="88" t="s">
        <v>138</v>
      </c>
      <c r="B31" s="38" t="s">
        <v>19</v>
      </c>
      <c r="C31" s="38" t="s">
        <v>662</v>
      </c>
      <c r="D31" s="38" t="s">
        <v>663</v>
      </c>
      <c r="E31" s="38"/>
      <c r="F31" s="38" t="s">
        <v>21</v>
      </c>
      <c r="G31" s="56" t="s">
        <v>286</v>
      </c>
    </row>
    <row r="32" spans="1:7" ht="14.5">
      <c r="A32" s="89">
        <v>1</v>
      </c>
      <c r="B32" s="64" t="str">
        <f>VLOOKUP(A32,ManoObra[],2,FALSE)</f>
        <v>Electricista</v>
      </c>
      <c r="C32" s="65">
        <f>VLOOKUP(A32,ManoObra[],8,FALSE)</f>
        <v>0</v>
      </c>
      <c r="D32" s="52">
        <f>+FP!E27</f>
        <v>0</v>
      </c>
      <c r="E32" s="52"/>
      <c r="F32" s="71">
        <f>F18</f>
        <v>3</v>
      </c>
      <c r="G32" s="51">
        <f>ROUND(C32*D32/F32,0)</f>
        <v>0</v>
      </c>
    </row>
    <row r="33" spans="1:7" ht="14.5">
      <c r="A33" s="89">
        <v>2</v>
      </c>
      <c r="B33" s="64" t="str">
        <f>VLOOKUP(A33,ManoObra[],2,FALSE)</f>
        <v>Ayudante</v>
      </c>
      <c r="C33" s="65">
        <f>VLOOKUP(A33,ManoObra[],8,FALSE)</f>
        <v>0</v>
      </c>
      <c r="D33" s="52">
        <f>+FP!E27</f>
        <v>0</v>
      </c>
      <c r="E33" s="52"/>
      <c r="F33" s="71">
        <f>F18</f>
        <v>3</v>
      </c>
      <c r="G33" s="51">
        <f>ROUND(C33*D33/F33,0)</f>
        <v>0</v>
      </c>
    </row>
    <row r="34" spans="1:7" ht="14.5">
      <c r="A34" s="89"/>
      <c r="B34" s="70"/>
      <c r="C34" s="65"/>
      <c r="D34" s="52"/>
      <c r="E34" s="52"/>
      <c r="F34" s="45"/>
      <c r="G34" s="51"/>
    </row>
    <row r="35" spans="1:7" ht="13">
      <c r="D35" s="47"/>
      <c r="E35" s="47"/>
      <c r="F35" s="61" t="s">
        <v>654</v>
      </c>
      <c r="G35" s="75">
        <f>SUM(G32:G34)</f>
        <v>0</v>
      </c>
    </row>
    <row r="36" spans="1:7" ht="13">
      <c r="D36" s="47"/>
      <c r="E36" s="47"/>
      <c r="G36" s="55"/>
    </row>
    <row r="37" spans="1:7" ht="12.75" customHeight="1">
      <c r="B37" s="47"/>
      <c r="D37" s="652" t="s">
        <v>664</v>
      </c>
      <c r="E37" s="654"/>
      <c r="F37" s="653"/>
      <c r="G37" s="66">
        <f>G14+G21+G28+G35</f>
        <v>0</v>
      </c>
    </row>
  </sheetData>
  <mergeCells count="3">
    <mergeCell ref="B1:G1"/>
    <mergeCell ref="D37:F37"/>
    <mergeCell ref="B4:E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ED31-C95E-4413-BF3B-1A84DB915BAD}">
  <sheetPr codeName="Hoja20">
    <tabColor theme="4" tint="0.59999389629810485"/>
    <pageSetUpPr fitToPage="1"/>
  </sheetPr>
  <dimension ref="A1:G39"/>
  <sheetViews>
    <sheetView showGridLines="0" view="pageBreakPreview" zoomScale="80" zoomScaleNormal="120" zoomScaleSheetLayoutView="80" workbookViewId="0">
      <selection activeCell="A35" sqref="A6:A35"/>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2010wp'!A7</f>
        <v>2.1.2</v>
      </c>
      <c r="D3" s="31"/>
      <c r="E3" s="31"/>
      <c r="F3" s="31"/>
      <c r="G3" s="32" t="s">
        <v>652</v>
      </c>
    </row>
    <row r="4" spans="1:7" ht="99.65" customHeight="1">
      <c r="B4" s="649" t="str">
        <f>+'PRES. SISFV 2010wp'!B7</f>
        <v>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6 AWG THHN y accesorios de conexión.</v>
      </c>
      <c r="C4" s="655"/>
      <c r="D4" s="655"/>
      <c r="E4" s="656"/>
      <c r="G4" s="33" t="str">
        <f>+'PRES. SISFV 2010wp'!C7</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111</v>
      </c>
      <c r="B8" s="69" t="str">
        <f>VLOOKUP(A8,Materiales3[],3,FALSE)</f>
        <v>Cinta roja</v>
      </c>
      <c r="C8" s="40" t="str">
        <f>VLOOKUP(A8,Materiales3[],4,FALSE)</f>
        <v>ML</v>
      </c>
      <c r="D8" s="41">
        <v>6</v>
      </c>
      <c r="E8" s="40">
        <f>VLOOKUP(A8,Materiales3[],5,FALSE)*D8</f>
        <v>0.06</v>
      </c>
      <c r="F8" s="42">
        <f>VLOOKUP(A8,Materiales3[],6,FALSE)</f>
        <v>0</v>
      </c>
      <c r="G8" s="42">
        <f>D8*F8</f>
        <v>0</v>
      </c>
    </row>
    <row r="9" spans="1:7" ht="14.5">
      <c r="A9" s="4">
        <v>83</v>
      </c>
      <c r="B9" s="69" t="str">
        <f>VLOOKUP(A9,Materiales3[],3,FALSE)</f>
        <v>Tuberia conduit PVC tipo A 3/4"</v>
      </c>
      <c r="C9" s="40" t="str">
        <f>VLOOKUP(A9,Materiales3[],4,FALSE)</f>
        <v>ML</v>
      </c>
      <c r="D9" s="41">
        <v>6</v>
      </c>
      <c r="E9" s="40">
        <f>VLOOKUP(A9,Materiales3[],5,FALSE)*D9</f>
        <v>1.1599999999999999</v>
      </c>
      <c r="F9" s="42">
        <f>VLOOKUP(A9,Materiales3[],6,FALSE)</f>
        <v>0</v>
      </c>
      <c r="G9" s="42">
        <f t="shared" ref="G9:G15" si="0">D9*F9</f>
        <v>0</v>
      </c>
    </row>
    <row r="10" spans="1:7" ht="14.5">
      <c r="A10" s="4">
        <v>133</v>
      </c>
      <c r="B10" s="69" t="str">
        <f>VLOOKUP(A10,Materiales3[],3,FALSE)</f>
        <v>Uniones, curvas y terminales IMC. Varios calibres</v>
      </c>
      <c r="C10" s="40" t="str">
        <f>VLOOKUP(A10,Materiales3[],4,FALSE)</f>
        <v>UN</v>
      </c>
      <c r="D10" s="72">
        <v>3</v>
      </c>
      <c r="E10" s="40">
        <f>VLOOKUP(A10,Materiales3[],5,FALSE)*D10</f>
        <v>0.54</v>
      </c>
      <c r="F10" s="42">
        <f>VLOOKUP(A10,Materiales3[],6,FALSE)</f>
        <v>0</v>
      </c>
      <c r="G10" s="42">
        <f t="shared" si="0"/>
        <v>0</v>
      </c>
    </row>
    <row r="11" spans="1:7" ht="14.5">
      <c r="A11" s="4">
        <v>134</v>
      </c>
      <c r="B11" s="69" t="str">
        <f>VLOOKUP(A11,Materiales3[],3,FALSE)</f>
        <v>Tuberia conduit IMC 3/4"</v>
      </c>
      <c r="C11" s="40" t="str">
        <f>VLOOKUP(A11,Materiales3[],4,FALSE)</f>
        <v>ML</v>
      </c>
      <c r="D11" s="72">
        <v>1</v>
      </c>
      <c r="E11" s="40">
        <f>VLOOKUP(A11,Materiales3[],5,FALSE)*D11</f>
        <v>1.7233333333333334</v>
      </c>
      <c r="F11" s="42">
        <f>VLOOKUP(A11,Materiales3[],6,FALSE)</f>
        <v>0</v>
      </c>
      <c r="G11" s="42">
        <f t="shared" si="0"/>
        <v>0</v>
      </c>
    </row>
    <row r="12" spans="1:7" ht="14.5">
      <c r="A12" s="4">
        <v>411</v>
      </c>
      <c r="B12" s="69" t="str">
        <f>VLOOKUP(A12,Materiales3[],3,FALSE)</f>
        <v>Curva 90 x 3/4 pulgada conduit PVC</v>
      </c>
      <c r="C12" s="40" t="str">
        <f>VLOOKUP(A12,Materiales3[],4,FALSE)</f>
        <v>UN</v>
      </c>
      <c r="D12" s="72">
        <v>2</v>
      </c>
      <c r="E12" s="40">
        <f>VLOOKUP(A12,Materiales3[],5,FALSE)*D12</f>
        <v>0.06</v>
      </c>
      <c r="F12" s="42">
        <f>VLOOKUP(A12,Materiales3[],6,FALSE)</f>
        <v>0</v>
      </c>
      <c r="G12" s="42">
        <f t="shared" ref="G12" si="1">D12*F12</f>
        <v>0</v>
      </c>
    </row>
    <row r="13" spans="1:7" ht="14.5">
      <c r="A13" s="4">
        <v>24</v>
      </c>
      <c r="B13" s="69" t="str">
        <f>VLOOKUP(A13,Materiales3[],3,FALSE)</f>
        <v>Borna para ponchar varios calibres y terminales</v>
      </c>
      <c r="C13" s="40" t="str">
        <f>VLOOKUP(A13,Materiales3[],4,FALSE)</f>
        <v>UN</v>
      </c>
      <c r="D13" s="72">
        <v>2</v>
      </c>
      <c r="E13" s="40">
        <f>VLOOKUP(A13,Materiales3[],5,FALSE)*D13</f>
        <v>1.6E-2</v>
      </c>
      <c r="F13" s="42">
        <f>VLOOKUP(A13,Materiales3[],6,FALSE)</f>
        <v>0</v>
      </c>
      <c r="G13" s="42">
        <f t="shared" ref="G13:G14" si="2">D13*F13</f>
        <v>0</v>
      </c>
    </row>
    <row r="14" spans="1:7" ht="14.5">
      <c r="A14" s="89">
        <v>212</v>
      </c>
      <c r="B14" s="69" t="str">
        <f>VLOOKUP(A14,Materiales3[],3,FALSE)</f>
        <v>Cable de Cobre Desnudo. 6 AWG</v>
      </c>
      <c r="C14" s="40" t="str">
        <f>VLOOKUP(A14,Materiales3[],4,FALSE)</f>
        <v>ML</v>
      </c>
      <c r="D14" s="72">
        <f>+(3+3)*1</f>
        <v>6</v>
      </c>
      <c r="E14" s="40">
        <f>VLOOKUP(A14,Materiales3[],5,FALSE)*D14</f>
        <v>0.72</v>
      </c>
      <c r="F14" s="42">
        <f>VLOOKUP(A14,Materiales3[],6,FALSE)</f>
        <v>0</v>
      </c>
      <c r="G14" s="42">
        <f t="shared" si="2"/>
        <v>0</v>
      </c>
    </row>
    <row r="15" spans="1:7" ht="14.5">
      <c r="A15" s="4">
        <v>131</v>
      </c>
      <c r="B15" s="69" t="str">
        <f>VLOOKUP(A15,Materiales3[],3,FALSE)</f>
        <v>Cable Cu solar XLPE 10 AWG 1kV 120 °C</v>
      </c>
      <c r="C15" s="40" t="str">
        <f>VLOOKUP(A15,Materiales3[],4,FALSE)</f>
        <v>ML</v>
      </c>
      <c r="D15" s="72">
        <f>+(2+3+3)*2</f>
        <v>16</v>
      </c>
      <c r="E15" s="40">
        <f>VLOOKUP(A15,Materiales3[],5,FALSE)*D15</f>
        <v>0.93120000000000003</v>
      </c>
      <c r="F15" s="42">
        <f>VLOOKUP(A15,Materiales3[],6,FALSE)</f>
        <v>0</v>
      </c>
      <c r="G15" s="42">
        <f t="shared" si="0"/>
        <v>0</v>
      </c>
    </row>
    <row r="16" spans="1:7" ht="13">
      <c r="D16" s="47"/>
      <c r="E16" s="47"/>
      <c r="F16" s="48" t="s">
        <v>654</v>
      </c>
      <c r="G16" s="49">
        <f>SUM(G8:G15)</f>
        <v>0</v>
      </c>
    </row>
    <row r="17" spans="1:7">
      <c r="G17" s="73"/>
    </row>
    <row r="18" spans="1:7" ht="13">
      <c r="B18" s="50" t="s">
        <v>655</v>
      </c>
      <c r="G18" s="74"/>
    </row>
    <row r="19" spans="1:7" ht="13">
      <c r="A19" s="88" t="s">
        <v>138</v>
      </c>
      <c r="B19" s="37" t="s">
        <v>19</v>
      </c>
      <c r="C19" s="38" t="s">
        <v>665</v>
      </c>
      <c r="D19" s="38" t="s">
        <v>656</v>
      </c>
      <c r="E19" s="38"/>
      <c r="F19" s="38" t="s">
        <v>21</v>
      </c>
      <c r="G19" s="38" t="s">
        <v>286</v>
      </c>
    </row>
    <row r="20" spans="1:7" ht="14.5">
      <c r="A20" s="89">
        <v>1</v>
      </c>
      <c r="B20" s="43" t="str">
        <f>VLOOKUP(A20,Equipoyherramienta[],2,FALSE)</f>
        <v>Herramienta menor</v>
      </c>
      <c r="C20" s="44" t="str">
        <f>VLOOKUP(A20,Equipoyherramienta[],3,FALSE)</f>
        <v>UN</v>
      </c>
      <c r="D20" s="51">
        <f>VLOOKUP(A20,Equipoyherramienta[],4,FALSE)</f>
        <v>0</v>
      </c>
      <c r="E20" s="51"/>
      <c r="F20" s="71">
        <f>+RENDIMIENTOS!C16-0.5</f>
        <v>2.5</v>
      </c>
      <c r="G20" s="51">
        <f>ROUND(D20/F20,0)</f>
        <v>0</v>
      </c>
    </row>
    <row r="21" spans="1:7">
      <c r="B21" s="43"/>
      <c r="C21" s="44"/>
      <c r="D21" s="46"/>
      <c r="E21" s="46"/>
      <c r="F21" s="52"/>
      <c r="G21" s="53"/>
    </row>
    <row r="22" spans="1:7">
      <c r="B22" s="43"/>
      <c r="C22" s="44"/>
      <c r="D22" s="46"/>
      <c r="E22" s="46"/>
      <c r="F22" s="52"/>
      <c r="G22" s="53"/>
    </row>
    <row r="23" spans="1:7" ht="13">
      <c r="D23" s="47"/>
      <c r="E23" s="47"/>
      <c r="F23" s="48" t="s">
        <v>654</v>
      </c>
      <c r="G23" s="49">
        <f>SUM(G20:G22)</f>
        <v>0</v>
      </c>
    </row>
    <row r="24" spans="1:7" ht="13">
      <c r="D24" s="47"/>
      <c r="E24" s="47"/>
      <c r="F24" s="47"/>
      <c r="G24" s="54"/>
    </row>
    <row r="25" spans="1:7" ht="13">
      <c r="B25" s="36" t="s">
        <v>657</v>
      </c>
      <c r="G25" s="55"/>
    </row>
    <row r="26" spans="1:7" ht="13">
      <c r="A26" s="88" t="s">
        <v>138</v>
      </c>
      <c r="B26" s="37" t="s">
        <v>19</v>
      </c>
      <c r="C26" s="38" t="s">
        <v>284</v>
      </c>
      <c r="D26" s="38" t="s">
        <v>410</v>
      </c>
      <c r="E26" s="38"/>
      <c r="F26" s="38" t="s">
        <v>666</v>
      </c>
      <c r="G26" s="56" t="s">
        <v>286</v>
      </c>
    </row>
    <row r="27" spans="1:7" ht="50">
      <c r="A27" s="89">
        <v>6</v>
      </c>
      <c r="B27" s="57" t="str">
        <f>VLOOKUP(A27,Transp.[],2,FALSE)</f>
        <v>Carga terrestre desde Barranquilla hasta Usuario, incluye cargues, descargues, cruces de río, transporte semoviente, transporte en vehículo de carga pesada y cualquier otro tranposte.</v>
      </c>
      <c r="C27" s="40" t="s">
        <v>667</v>
      </c>
      <c r="D27" s="41">
        <f>SUM(E8:E15)</f>
        <v>5.2105333333333341</v>
      </c>
      <c r="E27" s="41"/>
      <c r="F27" s="59">
        <f>VLOOKUP(A27,Transp.[],6,FALSE)</f>
        <v>0</v>
      </c>
      <c r="G27" s="59">
        <f>D27*F27</f>
        <v>0</v>
      </c>
    </row>
    <row r="28" spans="1:7" ht="13.15" customHeight="1">
      <c r="A28" s="89"/>
      <c r="B28" s="57"/>
      <c r="C28" s="40"/>
      <c r="D28" s="41"/>
      <c r="E28" s="41"/>
      <c r="F28" s="59"/>
      <c r="G28" s="59"/>
    </row>
    <row r="29" spans="1:7" ht="13.15" customHeight="1">
      <c r="A29" s="89"/>
      <c r="B29" s="57"/>
      <c r="C29" s="40"/>
      <c r="D29" s="41"/>
      <c r="E29" s="41"/>
      <c r="F29" s="59"/>
      <c r="G29" s="59"/>
    </row>
    <row r="30" spans="1:7" ht="13">
      <c r="D30" s="47"/>
      <c r="E30" s="47"/>
      <c r="F30" s="61" t="s">
        <v>654</v>
      </c>
      <c r="G30" s="49">
        <f>SUM(G27:G29)</f>
        <v>0</v>
      </c>
    </row>
    <row r="32" spans="1:7" ht="13">
      <c r="B32" s="36" t="s">
        <v>661</v>
      </c>
      <c r="D32" s="62"/>
      <c r="E32" s="62"/>
      <c r="F32" s="63"/>
      <c r="G32" s="55"/>
    </row>
    <row r="33" spans="1:7" s="47" customFormat="1" ht="13">
      <c r="A33" s="88" t="s">
        <v>138</v>
      </c>
      <c r="B33" s="38" t="s">
        <v>19</v>
      </c>
      <c r="C33" s="38" t="s">
        <v>662</v>
      </c>
      <c r="D33" s="38" t="s">
        <v>663</v>
      </c>
      <c r="E33" s="38"/>
      <c r="F33" s="38" t="s">
        <v>21</v>
      </c>
      <c r="G33" s="56" t="s">
        <v>286</v>
      </c>
    </row>
    <row r="34" spans="1:7" ht="14.5">
      <c r="A34" s="89">
        <v>1</v>
      </c>
      <c r="B34" s="64" t="str">
        <f>VLOOKUP(A34,ManoObra[],2,FALSE)</f>
        <v>Electricista</v>
      </c>
      <c r="C34" s="65">
        <f>VLOOKUP(A34,ManoObra[],8,FALSE)</f>
        <v>0</v>
      </c>
      <c r="D34" s="52">
        <f>+FP!E27</f>
        <v>0</v>
      </c>
      <c r="E34" s="52"/>
      <c r="F34" s="71">
        <f>F20</f>
        <v>2.5</v>
      </c>
      <c r="G34" s="51">
        <f>ROUND(C34*D34/F34,0)</f>
        <v>0</v>
      </c>
    </row>
    <row r="35" spans="1:7" ht="14.5">
      <c r="A35" s="89">
        <v>2</v>
      </c>
      <c r="B35" s="64" t="str">
        <f>VLOOKUP(A35,ManoObra[],2,FALSE)</f>
        <v>Ayudante</v>
      </c>
      <c r="C35" s="65">
        <f>VLOOKUP(A35,ManoObra[],8,FALSE)</f>
        <v>0</v>
      </c>
      <c r="D35" s="52">
        <f>+FP!E27</f>
        <v>0</v>
      </c>
      <c r="E35" s="52"/>
      <c r="F35" s="71">
        <f>F20</f>
        <v>2.5</v>
      </c>
      <c r="G35" s="51">
        <f>ROUND(C35*D35/F35,0)</f>
        <v>0</v>
      </c>
    </row>
    <row r="36" spans="1:7" ht="14.5">
      <c r="A36" s="89"/>
      <c r="B36" s="70"/>
      <c r="C36" s="65"/>
      <c r="D36" s="52"/>
      <c r="E36" s="52"/>
      <c r="F36" s="45"/>
      <c r="G36" s="51"/>
    </row>
    <row r="37" spans="1:7" ht="13">
      <c r="D37" s="47"/>
      <c r="E37" s="47"/>
      <c r="F37" s="61" t="s">
        <v>654</v>
      </c>
      <c r="G37" s="75">
        <f>SUM(G34:G36)</f>
        <v>0</v>
      </c>
    </row>
    <row r="38" spans="1:7" ht="13">
      <c r="D38" s="47"/>
      <c r="E38" s="47"/>
      <c r="G38" s="55"/>
    </row>
    <row r="39" spans="1:7" ht="12.75" customHeight="1">
      <c r="B39" s="47"/>
      <c r="D39" s="652" t="s">
        <v>664</v>
      </c>
      <c r="E39" s="654"/>
      <c r="F39" s="653"/>
      <c r="G39" s="66">
        <f>G16+G23+G30+G37</f>
        <v>0</v>
      </c>
    </row>
  </sheetData>
  <mergeCells count="3">
    <mergeCell ref="B1:G1"/>
    <mergeCell ref="B4:E4"/>
    <mergeCell ref="D39:F39"/>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85A5-4E90-4457-B129-BB906589963D}">
  <sheetPr codeName="Hoja21">
    <tabColor theme="4" tint="0.59999389629810485"/>
    <pageSetUpPr fitToPage="1"/>
  </sheetPr>
  <dimension ref="A1:G48"/>
  <sheetViews>
    <sheetView showGridLines="0" view="pageBreakPreview" topLeftCell="A31" zoomScale="80" zoomScaleNormal="120" zoomScaleSheetLayoutView="80" workbookViewId="0">
      <selection activeCell="B4" sqref="B4:E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2010wp'!A8</f>
        <v>2.1.3</v>
      </c>
      <c r="D3" s="31"/>
      <c r="E3" s="31"/>
      <c r="F3" s="31"/>
      <c r="G3" s="32" t="s">
        <v>652</v>
      </c>
    </row>
    <row r="4" spans="1:7" ht="175.15" customHeight="1">
      <c r="B4" s="649" t="str">
        <f>+'PRES. SISFV 2010wp'!B8</f>
        <v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v>
      </c>
      <c r="C4" s="655"/>
      <c r="D4" s="655"/>
      <c r="E4" s="656"/>
      <c r="G4" s="33" t="str">
        <f>+'PRES. SISFV 2010wp'!C8</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135</v>
      </c>
      <c r="B8" s="69" t="str">
        <f>VLOOKUP(A8,Materiales3[],3,FALSE)</f>
        <v>Barra bornera tierra con soporte plástico riel din de 10 cm</v>
      </c>
      <c r="C8" s="40" t="str">
        <f>VLOOKUP(A8,Materiales3[],4,FALSE)</f>
        <v>UN</v>
      </c>
      <c r="D8" s="40">
        <v>2</v>
      </c>
      <c r="E8" s="40">
        <f>VLOOKUP(A8,Materiales3[],5,FALSE)*D8</f>
        <v>1</v>
      </c>
      <c r="F8" s="42">
        <f>VLOOKUP(A8,Materiales3[],6,FALSE)</f>
        <v>0</v>
      </c>
      <c r="G8" s="42">
        <f>D8*F8</f>
        <v>0</v>
      </c>
    </row>
    <row r="9" spans="1:7" ht="14.5">
      <c r="A9" s="89">
        <v>136</v>
      </c>
      <c r="B9" s="69" t="str">
        <f>VLOOKUP(A9,Materiales3[],3,FALSE)</f>
        <v>Barra de cobre 12x2x100 mm (incluye aisladores)</v>
      </c>
      <c r="C9" s="40" t="str">
        <f>VLOOKUP(A9,Materiales3[],4,FALSE)</f>
        <v>UN</v>
      </c>
      <c r="D9" s="40">
        <v>3</v>
      </c>
      <c r="E9" s="40">
        <f>VLOOKUP(A9,Materiales3[],5,FALSE)*D9</f>
        <v>3</v>
      </c>
      <c r="F9" s="42">
        <f>VLOOKUP(A9,Materiales3[],6,FALSE)</f>
        <v>0</v>
      </c>
      <c r="G9" s="42">
        <f t="shared" ref="G9:G24" si="0">D9*F9</f>
        <v>0</v>
      </c>
    </row>
    <row r="10" spans="1:7" ht="14.5">
      <c r="A10" s="89">
        <v>137</v>
      </c>
      <c r="B10" s="69" t="str">
        <f>VLOOKUP(A10,Materiales3[],3,FALSE)</f>
        <v xml:space="preserve">Canaleta ranurada dexon 25 x 40 mm </v>
      </c>
      <c r="C10" s="40" t="str">
        <f>VLOOKUP(A10,Materiales3[],4,FALSE)</f>
        <v>ML</v>
      </c>
      <c r="D10" s="40">
        <v>2</v>
      </c>
      <c r="E10" s="40">
        <f>VLOOKUP(A10,Materiales3[],5,FALSE)*D10</f>
        <v>0.2</v>
      </c>
      <c r="F10" s="42">
        <f>VLOOKUP(A10,Materiales3[],6,FALSE)</f>
        <v>0</v>
      </c>
      <c r="G10" s="42">
        <f t="shared" si="0"/>
        <v>0</v>
      </c>
    </row>
    <row r="11" spans="1:7" ht="14.5">
      <c r="A11" s="89">
        <v>138</v>
      </c>
      <c r="B11" s="69" t="str">
        <f>VLOOKUP(A11,Materiales3[],3,FALSE)</f>
        <v>Cinta de amarre dexon 10 cm color blanco</v>
      </c>
      <c r="C11" s="40" t="str">
        <f>VLOOKUP(A11,Materiales3[],4,FALSE)</f>
        <v>UN</v>
      </c>
      <c r="D11" s="40">
        <v>15</v>
      </c>
      <c r="E11" s="40">
        <f>VLOOKUP(A11,Materiales3[],5,FALSE)*D11</f>
        <v>3</v>
      </c>
      <c r="F11" s="42">
        <f>VLOOKUP(A11,Materiales3[],6,FALSE)</f>
        <v>0</v>
      </c>
      <c r="G11" s="42">
        <f t="shared" si="0"/>
        <v>0</v>
      </c>
    </row>
    <row r="12" spans="1:7" ht="75.650000000000006" customHeight="1">
      <c r="A12" s="89">
        <v>139</v>
      </c>
      <c r="B12" s="69" t="str">
        <f>VLOOKUP(A12,Materiales3[],3,FALSE)</f>
        <v>Gabinete metálico con puerta y chapa para equipos y conexiones DC/AC de 598 mm de ancho, 840 mm de alto, 460 cm de fondo (incluye doblefondo, angeos, diseño y fabricación a la medida de los componentes), con soporte interior para batería 48V/100Ah)</v>
      </c>
      <c r="C12" s="40" t="str">
        <f>VLOOKUP(A12,Materiales3[],4,FALSE)</f>
        <v>UN</v>
      </c>
      <c r="D12" s="40">
        <v>1</v>
      </c>
      <c r="E12" s="40">
        <f>VLOOKUP(A12,Materiales3[],5,FALSE)*D12</f>
        <v>15</v>
      </c>
      <c r="F12" s="42">
        <f>VLOOKUP(A12,Materiales3[],6,FALSE)</f>
        <v>0</v>
      </c>
      <c r="G12" s="42">
        <f t="shared" si="0"/>
        <v>0</v>
      </c>
    </row>
    <row r="13" spans="1:7" ht="14.5">
      <c r="A13" s="89">
        <v>140</v>
      </c>
      <c r="B13" s="69" t="str">
        <f>VLOOKUP(A13,Materiales3[],3,FALSE)</f>
        <v>Marcador tipo anillo ar2 (+, -, L, N,T) x 20 Piezas</v>
      </c>
      <c r="C13" s="40" t="str">
        <f>VLOOKUP(A13,Materiales3[],4,FALSE)</f>
        <v>JG</v>
      </c>
      <c r="D13" s="40">
        <v>1</v>
      </c>
      <c r="E13" s="40">
        <f>VLOOKUP(A13,Materiales3[],5,FALSE)*D13</f>
        <v>0.01</v>
      </c>
      <c r="F13" s="42">
        <f>VLOOKUP(A13,Materiales3[],6,FALSE)</f>
        <v>0</v>
      </c>
      <c r="G13" s="42">
        <f t="shared" si="0"/>
        <v>0</v>
      </c>
    </row>
    <row r="14" spans="1:7" ht="14.5">
      <c r="A14" s="89">
        <v>24</v>
      </c>
      <c r="B14" s="69" t="str">
        <f>VLOOKUP(A14,Materiales3[],3,FALSE)</f>
        <v>Borna para ponchar varios calibres y terminales</v>
      </c>
      <c r="C14" s="40" t="str">
        <f>VLOOKUP(A14,Materiales3[],4,FALSE)</f>
        <v>UN</v>
      </c>
      <c r="D14" s="40">
        <v>24</v>
      </c>
      <c r="E14" s="40">
        <f>VLOOKUP(A14,Materiales3[],5,FALSE)*D14</f>
        <v>0.192</v>
      </c>
      <c r="F14" s="42">
        <f>VLOOKUP(A14,Materiales3[],6,FALSE)</f>
        <v>0</v>
      </c>
      <c r="G14" s="42">
        <f t="shared" si="0"/>
        <v>0</v>
      </c>
    </row>
    <row r="15" spans="1:7" ht="14.5">
      <c r="A15" s="89">
        <v>141</v>
      </c>
      <c r="B15" s="69" t="str">
        <f>VLOOKUP(A15,Materiales3[],3,FALSE)</f>
        <v>Tornillo autoperforante de cabeza estrella 1/4" x 1/4"</v>
      </c>
      <c r="C15" s="40" t="str">
        <f>VLOOKUP(A15,Materiales3[],4,FALSE)</f>
        <v>UN</v>
      </c>
      <c r="D15" s="40">
        <v>18</v>
      </c>
      <c r="E15" s="40">
        <f>VLOOKUP(A15,Materiales3[],5,FALSE)*D15</f>
        <v>0.09</v>
      </c>
      <c r="F15" s="42">
        <f>VLOOKUP(A15,Materiales3[],6,FALSE)</f>
        <v>0</v>
      </c>
      <c r="G15" s="42">
        <f t="shared" si="0"/>
        <v>0</v>
      </c>
    </row>
    <row r="16" spans="1:7" ht="14.5">
      <c r="A16" s="89">
        <v>10</v>
      </c>
      <c r="B16" s="69" t="str">
        <f>VLOOKUP(A16,Materiales3[],3,FALSE)</f>
        <v>Riel DIN 35 mm x 7.5 mm</v>
      </c>
      <c r="C16" s="40" t="str">
        <f>VLOOKUP(A16,Materiales3[],4,FALSE)</f>
        <v>ML</v>
      </c>
      <c r="D16" s="40">
        <v>1</v>
      </c>
      <c r="E16" s="40">
        <f>VLOOKUP(A16,Materiales3[],5,FALSE)*D16</f>
        <v>0.3</v>
      </c>
      <c r="F16" s="42">
        <f>VLOOKUP(A16,Materiales3[],6,FALSE)</f>
        <v>0</v>
      </c>
      <c r="G16" s="42">
        <f t="shared" si="0"/>
        <v>0</v>
      </c>
    </row>
    <row r="17" spans="1:7" ht="14.5">
      <c r="A17" s="89">
        <v>13</v>
      </c>
      <c r="B17" s="69" t="str">
        <f>VLOOKUP(A17,Materiales3[],3,FALSE)</f>
        <v>DPS Tipo 2 500 Uc Up 2,5 kV 18-40 kA</v>
      </c>
      <c r="C17" s="40" t="str">
        <f>VLOOKUP(A17,Materiales3[],4,FALSE)</f>
        <v>UN</v>
      </c>
      <c r="D17" s="40">
        <v>1</v>
      </c>
      <c r="E17" s="40">
        <f>VLOOKUP(A17,Materiales3[],5,FALSE)*D17</f>
        <v>0.24</v>
      </c>
      <c r="F17" s="42">
        <f>VLOOKUP(A17,Materiales3[],6,FALSE)</f>
        <v>0</v>
      </c>
      <c r="G17" s="42">
        <f t="shared" si="0"/>
        <v>0</v>
      </c>
    </row>
    <row r="18" spans="1:7" ht="14.5">
      <c r="A18" s="89">
        <v>398</v>
      </c>
      <c r="B18" s="69" t="str">
        <f>VLOOKUP(A18,Materiales3[],3,FALSE)</f>
        <v xml:space="preserve">Interruptor termomagnético 30A 2P 500 VDC 6 Ka </v>
      </c>
      <c r="C18" s="40" t="str">
        <f>VLOOKUP(A18,Materiales3[],4,FALSE)</f>
        <v>UN</v>
      </c>
      <c r="D18" s="40">
        <v>1</v>
      </c>
      <c r="E18" s="40">
        <f>VLOOKUP(A18,Materiales3[],5,FALSE)*D18</f>
        <v>0.24</v>
      </c>
      <c r="F18" s="42">
        <f>VLOOKUP(A18,Materiales3[],6,FALSE)</f>
        <v>0</v>
      </c>
      <c r="G18" s="42">
        <f t="shared" si="0"/>
        <v>0</v>
      </c>
    </row>
    <row r="19" spans="1:7" ht="14.5">
      <c r="A19" s="89">
        <v>11</v>
      </c>
      <c r="B19" s="69" t="str">
        <f>VLOOKUP(A19,Materiales3[],3,FALSE)</f>
        <v xml:space="preserve">Interruptor termomagnético 50A 2P 500 VDC 6 Ka </v>
      </c>
      <c r="C19" s="40" t="str">
        <f>VLOOKUP(A19,Materiales3[],4,FALSE)</f>
        <v>UN</v>
      </c>
      <c r="D19" s="40">
        <v>3</v>
      </c>
      <c r="E19" s="40">
        <f>VLOOKUP(A19,Materiales3[],5,FALSE)*D19</f>
        <v>0.72</v>
      </c>
      <c r="F19" s="42">
        <f>VLOOKUP(A19,Materiales3[],6,FALSE)</f>
        <v>0</v>
      </c>
      <c r="G19" s="42">
        <f t="shared" si="0"/>
        <v>0</v>
      </c>
    </row>
    <row r="20" spans="1:7" ht="14.5">
      <c r="A20" s="89">
        <v>235</v>
      </c>
      <c r="B20" s="69" t="str">
        <f>VLOOKUP(A20,Materiales3[],3,FALSE)</f>
        <v xml:space="preserve">Interruptor termomagnético 25A 2P 120/240V VAC 10 Ka </v>
      </c>
      <c r="C20" s="40" t="str">
        <f>VLOOKUP(A20,Materiales3[],4,FALSE)</f>
        <v>UN</v>
      </c>
      <c r="D20" s="40">
        <v>1</v>
      </c>
      <c r="E20" s="40">
        <f>VLOOKUP(A20,Materiales3[],5,FALSE)*D20</f>
        <v>0.2</v>
      </c>
      <c r="F20" s="42">
        <f>VLOOKUP(A20,Materiales3[],6,FALSE)</f>
        <v>0</v>
      </c>
      <c r="G20" s="42">
        <f t="shared" ref="G20" si="1">D20*F20</f>
        <v>0</v>
      </c>
    </row>
    <row r="21" spans="1:7" ht="14.5">
      <c r="A21" s="89">
        <v>132</v>
      </c>
      <c r="B21" s="69" t="str">
        <f>VLOOKUP(A21,Materiales3[],3,FALSE)</f>
        <v>Cable Cu THHN 10 AWG</v>
      </c>
      <c r="C21" s="40" t="str">
        <f>VLOOKUP(A21,Materiales3[],4,FALSE)</f>
        <v>ML</v>
      </c>
      <c r="D21" s="40">
        <f>2*0.6</f>
        <v>1.2</v>
      </c>
      <c r="E21" s="40">
        <f>VLOOKUP(A21,Materiales3[],5,FALSE)*D21</f>
        <v>7.0800000000000002E-2</v>
      </c>
      <c r="F21" s="42">
        <f>VLOOKUP(A21,Materiales3[],6,FALSE)</f>
        <v>0</v>
      </c>
      <c r="G21" s="42">
        <f t="shared" si="0"/>
        <v>0</v>
      </c>
    </row>
    <row r="22" spans="1:7" ht="14.5">
      <c r="A22" s="89">
        <v>241</v>
      </c>
      <c r="B22" s="69" t="str">
        <f>VLOOKUP(A22,Materiales3[],3,FALSE)</f>
        <v>Cable Cu THHN 6 AWG</v>
      </c>
      <c r="C22" s="40" t="str">
        <f>VLOOKUP(A22,Materiales3[],4,FALSE)</f>
        <v>ML</v>
      </c>
      <c r="D22" s="40">
        <f>2*0.6+4*0.6+2</f>
        <v>5.6</v>
      </c>
      <c r="E22" s="40">
        <f>VLOOKUP(A22,Materiales3[],5,FALSE)*D22</f>
        <v>0.94079999999999997</v>
      </c>
      <c r="F22" s="42">
        <f>VLOOKUP(A22,Materiales3[],6,FALSE)</f>
        <v>0</v>
      </c>
      <c r="G22" s="42">
        <f t="shared" si="0"/>
        <v>0</v>
      </c>
    </row>
    <row r="23" spans="1:7" ht="14.5">
      <c r="A23" s="4">
        <v>246</v>
      </c>
      <c r="B23" s="69" t="str">
        <f>VLOOKUP(A23,Materiales3[],3,FALSE)</f>
        <v>Cable Cu THHN 8 AWG</v>
      </c>
      <c r="C23" s="40" t="str">
        <f>VLOOKUP(A23,Materiales3[],4,FALSE)</f>
        <v>ML</v>
      </c>
      <c r="D23" s="40">
        <f>3*2.5</f>
        <v>7.5</v>
      </c>
      <c r="E23" s="40">
        <f>VLOOKUP(A23,Materiales3[],5,FALSE)*D23</f>
        <v>0.72</v>
      </c>
      <c r="F23" s="42">
        <f>VLOOKUP(A23,Materiales3[],6,FALSE)</f>
        <v>0</v>
      </c>
      <c r="G23" s="42">
        <f t="shared" ref="G23" si="2">D23*F23</f>
        <v>0</v>
      </c>
    </row>
    <row r="24" spans="1:7" ht="14.5">
      <c r="A24" s="4">
        <v>246</v>
      </c>
      <c r="B24" s="69" t="str">
        <f>VLOOKUP(A24,Materiales3[],3,FALSE)&amp;" Verde"</f>
        <v>Cable Cu THHN 8 AWG Verde</v>
      </c>
      <c r="C24" s="40" t="str">
        <f>VLOOKUP(A24,Materiales3[],4,FALSE)</f>
        <v>ML</v>
      </c>
      <c r="D24" s="40">
        <v>0.52500000000000002</v>
      </c>
      <c r="E24" s="40">
        <f>VLOOKUP(A24,Materiales3[],5,FALSE)*D24</f>
        <v>5.04E-2</v>
      </c>
      <c r="F24" s="42">
        <f>VLOOKUP(A24,Materiales3[],6,FALSE)</f>
        <v>0</v>
      </c>
      <c r="G24" s="42">
        <f t="shared" si="0"/>
        <v>0</v>
      </c>
    </row>
    <row r="25" spans="1:7" ht="13">
      <c r="D25" s="47"/>
      <c r="E25" s="47"/>
      <c r="F25" s="48" t="s">
        <v>654</v>
      </c>
      <c r="G25" s="49">
        <f>SUM(G8:G24)</f>
        <v>0</v>
      </c>
    </row>
    <row r="26" spans="1:7">
      <c r="G26" s="73"/>
    </row>
    <row r="27" spans="1:7" ht="13">
      <c r="B27" s="50" t="s">
        <v>655</v>
      </c>
      <c r="G27" s="74"/>
    </row>
    <row r="28" spans="1:7" ht="13">
      <c r="A28" s="88" t="s">
        <v>138</v>
      </c>
      <c r="B28" s="37" t="s">
        <v>19</v>
      </c>
      <c r="C28" s="38" t="s">
        <v>665</v>
      </c>
      <c r="D28" s="38" t="s">
        <v>656</v>
      </c>
      <c r="E28" s="38"/>
      <c r="F28" s="38" t="s">
        <v>21</v>
      </c>
      <c r="G28" s="38" t="s">
        <v>286</v>
      </c>
    </row>
    <row r="29" spans="1:7" ht="14.5">
      <c r="A29" s="89">
        <v>1</v>
      </c>
      <c r="B29" s="43" t="str">
        <f>VLOOKUP(A29,Equipoyherramienta[],2,FALSE)</f>
        <v>Herramienta menor</v>
      </c>
      <c r="C29" s="44" t="str">
        <f>VLOOKUP(A29,Equipoyherramienta[],3,FALSE)</f>
        <v>UN</v>
      </c>
      <c r="D29" s="51">
        <f>VLOOKUP(A29,Equipoyherramienta[],4,FALSE)</f>
        <v>0</v>
      </c>
      <c r="E29" s="51"/>
      <c r="F29" s="71">
        <f>+RENDIMIENTOS!C17</f>
        <v>2</v>
      </c>
      <c r="G29" s="51">
        <f>ROUND(D29/F29,0)</f>
        <v>0</v>
      </c>
    </row>
    <row r="30" spans="1:7">
      <c r="B30" s="43"/>
      <c r="C30" s="44"/>
      <c r="D30" s="46"/>
      <c r="E30" s="46"/>
      <c r="F30" s="52"/>
      <c r="G30" s="53"/>
    </row>
    <row r="31" spans="1:7">
      <c r="B31" s="43"/>
      <c r="C31" s="44"/>
      <c r="D31" s="46"/>
      <c r="E31" s="46"/>
      <c r="F31" s="52"/>
      <c r="G31" s="53"/>
    </row>
    <row r="32" spans="1:7" ht="13">
      <c r="D32" s="47"/>
      <c r="E32" s="47"/>
      <c r="F32" s="48" t="s">
        <v>654</v>
      </c>
      <c r="G32" s="49">
        <f>SUM(G29:G31)</f>
        <v>0</v>
      </c>
    </row>
    <row r="33" spans="1:7" ht="13">
      <c r="D33" s="47"/>
      <c r="E33" s="47"/>
      <c r="F33" s="47"/>
      <c r="G33" s="54"/>
    </row>
    <row r="34" spans="1:7" ht="13">
      <c r="B34" s="36" t="s">
        <v>657</v>
      </c>
      <c r="G34" s="55"/>
    </row>
    <row r="35" spans="1:7" ht="13">
      <c r="A35" s="88" t="s">
        <v>138</v>
      </c>
      <c r="B35" s="37" t="s">
        <v>19</v>
      </c>
      <c r="C35" s="38" t="s">
        <v>284</v>
      </c>
      <c r="D35" s="38" t="s">
        <v>410</v>
      </c>
      <c r="E35" s="38"/>
      <c r="F35" s="38" t="s">
        <v>666</v>
      </c>
      <c r="G35" s="56" t="s">
        <v>286</v>
      </c>
    </row>
    <row r="36" spans="1:7" ht="50">
      <c r="A36" s="89">
        <v>6</v>
      </c>
      <c r="B36" s="57" t="str">
        <f>VLOOKUP(A36,Transp.[],2,FALSE)</f>
        <v>Carga terrestre desde Barranquilla hasta Usuario, incluye cargues, descargues, cruces de río, transporte semoviente, transporte en vehículo de carga pesada y cualquier otro tranposte.</v>
      </c>
      <c r="C36" s="40" t="s">
        <v>667</v>
      </c>
      <c r="D36" s="41">
        <f>+SUM(E8:E24)</f>
        <v>25.973999999999993</v>
      </c>
      <c r="E36" s="41"/>
      <c r="F36" s="59">
        <f>VLOOKUP(A36,Transp.[],6,FALSE)</f>
        <v>0</v>
      </c>
      <c r="G36" s="59">
        <f>D36*F36</f>
        <v>0</v>
      </c>
    </row>
    <row r="37" spans="1:7" ht="13.15" customHeight="1">
      <c r="A37" s="89"/>
      <c r="B37" s="57"/>
      <c r="C37" s="40"/>
      <c r="D37" s="41"/>
      <c r="E37" s="41"/>
      <c r="F37" s="59"/>
      <c r="G37" s="59"/>
    </row>
    <row r="38" spans="1:7" ht="13.15" customHeight="1">
      <c r="A38" s="89"/>
      <c r="B38" s="57"/>
      <c r="C38" s="40"/>
      <c r="D38" s="41"/>
      <c r="E38" s="41"/>
      <c r="F38" s="59"/>
      <c r="G38" s="59"/>
    </row>
    <row r="39" spans="1:7" ht="13">
      <c r="D39" s="47"/>
      <c r="E39" s="47"/>
      <c r="F39" s="61" t="s">
        <v>654</v>
      </c>
      <c r="G39" s="49">
        <f>SUM(G36:G38)</f>
        <v>0</v>
      </c>
    </row>
    <row r="41" spans="1:7" ht="13">
      <c r="B41" s="36" t="s">
        <v>661</v>
      </c>
      <c r="D41" s="62"/>
      <c r="E41" s="62"/>
      <c r="F41" s="63"/>
      <c r="G41" s="55"/>
    </row>
    <row r="42" spans="1:7" s="47" customFormat="1" ht="13">
      <c r="A42" s="88" t="s">
        <v>138</v>
      </c>
      <c r="B42" s="38" t="s">
        <v>19</v>
      </c>
      <c r="C42" s="38" t="s">
        <v>662</v>
      </c>
      <c r="D42" s="38" t="s">
        <v>663</v>
      </c>
      <c r="E42" s="38"/>
      <c r="F42" s="38" t="s">
        <v>21</v>
      </c>
      <c r="G42" s="56" t="s">
        <v>286</v>
      </c>
    </row>
    <row r="43" spans="1:7" ht="14.5">
      <c r="A43" s="89">
        <v>1</v>
      </c>
      <c r="B43" s="64" t="str">
        <f>VLOOKUP(A43,ManoObra[],2,FALSE)</f>
        <v>Electricista</v>
      </c>
      <c r="C43" s="65">
        <f>VLOOKUP(A43,ManoObra[],8,FALSE)</f>
        <v>0</v>
      </c>
      <c r="D43" s="52">
        <f>+FP!E27</f>
        <v>0</v>
      </c>
      <c r="E43" s="52"/>
      <c r="F43" s="71">
        <f>F29</f>
        <v>2</v>
      </c>
      <c r="G43" s="51">
        <f>ROUND(C43*D43/F43,0)</f>
        <v>0</v>
      </c>
    </row>
    <row r="44" spans="1:7" ht="14.5">
      <c r="A44" s="89">
        <v>2</v>
      </c>
      <c r="B44" s="64" t="str">
        <f>VLOOKUP(A44,ManoObra[],2,FALSE)</f>
        <v>Ayudante</v>
      </c>
      <c r="C44" s="65">
        <f>VLOOKUP(A44,ManoObra[],8,FALSE)</f>
        <v>0</v>
      </c>
      <c r="D44" s="52">
        <f>+FP!E27</f>
        <v>0</v>
      </c>
      <c r="E44" s="52"/>
      <c r="F44" s="71">
        <f>F29</f>
        <v>2</v>
      </c>
      <c r="G44" s="51">
        <f>ROUND(C44*D44/F44,0)</f>
        <v>0</v>
      </c>
    </row>
    <row r="45" spans="1:7" ht="14.5">
      <c r="A45" s="89"/>
      <c r="B45" s="70"/>
      <c r="C45" s="65"/>
      <c r="D45" s="52"/>
      <c r="E45" s="52"/>
      <c r="F45" s="45"/>
      <c r="G45" s="51"/>
    </row>
    <row r="46" spans="1:7" ht="13">
      <c r="D46" s="47"/>
      <c r="E46" s="47"/>
      <c r="F46" s="61" t="s">
        <v>654</v>
      </c>
      <c r="G46" s="75">
        <f>SUM(G43:G45)</f>
        <v>0</v>
      </c>
    </row>
    <row r="47" spans="1:7" ht="13">
      <c r="D47" s="47"/>
      <c r="E47" s="47"/>
      <c r="G47" s="55"/>
    </row>
    <row r="48" spans="1:7" ht="12.75" customHeight="1">
      <c r="B48" s="47"/>
      <c r="D48" s="652" t="s">
        <v>664</v>
      </c>
      <c r="E48" s="654"/>
      <c r="F48" s="653"/>
      <c r="G48" s="66">
        <f>G25+G32+G39+G46</f>
        <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66" orientation="portrait" r:id="rId1"/>
  <headerFooter alignWithMargins="0">
    <oddHeader xml:space="preserve">&amp;C&amp;"Arial,Negrita"&amp;12ANÁLISIS DE PRECIOS UNITARIOS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B441-6951-4335-A966-844BF89F6C45}">
  <sheetPr codeName="Hoja22">
    <tabColor theme="4" tint="0.59999389629810485"/>
    <pageSetUpPr fitToPage="1"/>
  </sheetPr>
  <dimension ref="A1:G34"/>
  <sheetViews>
    <sheetView showGridLines="0" view="pageBreakPreview" topLeftCell="A25" zoomScale="80" zoomScaleNormal="120" zoomScaleSheetLayoutView="80" workbookViewId="0">
      <selection activeCell="A4" sqref="A4:A36"/>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2010wp'!A9</f>
        <v>2.1.4</v>
      </c>
      <c r="D3" s="31"/>
      <c r="E3" s="31"/>
      <c r="F3" s="31"/>
      <c r="G3" s="32" t="s">
        <v>652</v>
      </c>
    </row>
    <row r="4" spans="1:7" ht="99.65" customHeight="1">
      <c r="B4" s="649" t="str">
        <f>+'PRES. SISFV 2010wp'!B9</f>
        <v>Suministro e instalación de regulador (controlador) de carga, 50A/48V MPPT Solar, eficiencia mínima del 96%, debe ser apto para cargar baterías tipo LiFePO4. Con todas las protecciones eléctricas necesarias en caso de sobrecarga, cortocircuito, advertencia de alto voltaje</v>
      </c>
      <c r="C4" s="655"/>
      <c r="D4" s="655"/>
      <c r="E4" s="656"/>
      <c r="G4" s="33" t="str">
        <f>+'PRES. SISFV 2010wp'!C9</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43.15" customHeight="1">
      <c r="A8" s="89">
        <v>147</v>
      </c>
      <c r="B8" s="69" t="str">
        <f>VLOOKUP(A8,Materiales3[],3,FALSE)</f>
        <v>Controlador de carga MPPT 48 VDC capacidad 50 A</v>
      </c>
      <c r="C8" s="40" t="str">
        <f>VLOOKUP(A8,Materiales3[],4,FALSE)</f>
        <v>UN</v>
      </c>
      <c r="D8" s="41">
        <v>1</v>
      </c>
      <c r="E8" s="40">
        <f>VLOOKUP(A8,Materiales3[],5,FALSE)*D8</f>
        <v>2.5</v>
      </c>
      <c r="F8" s="42">
        <f>VLOOKUP(A8,Materiales3[],6,FALSE)</f>
        <v>0</v>
      </c>
      <c r="G8" s="42">
        <f>D8*F8</f>
        <v>0</v>
      </c>
    </row>
    <row r="9" spans="1:7" ht="14.5">
      <c r="A9" s="89">
        <v>24</v>
      </c>
      <c r="B9" s="69" t="str">
        <f>VLOOKUP(A9,Materiales3[],3,FALSE)</f>
        <v>Borna para ponchar varios calibres y terminales</v>
      </c>
      <c r="C9" s="40" t="str">
        <f>VLOOKUP(A9,Materiales3[],4,FALSE)</f>
        <v>UN</v>
      </c>
      <c r="D9" s="41">
        <v>2</v>
      </c>
      <c r="E9" s="40">
        <f>VLOOKUP(A9,Materiales3[],5,FALSE)*D9</f>
        <v>1.6E-2</v>
      </c>
      <c r="F9" s="42">
        <f>VLOOKUP(A9,Materiales3[],6,FALSE)</f>
        <v>0</v>
      </c>
      <c r="G9" s="42">
        <f>D9*F9</f>
        <v>0</v>
      </c>
    </row>
    <row r="10" spans="1:7" ht="14.5">
      <c r="A10" s="4">
        <v>132</v>
      </c>
      <c r="B10" s="69" t="str">
        <f>VLOOKUP(A10,Materiales3[],3,FALSE)&amp;" Verde"</f>
        <v>Cable Cu THHN 10 AWG Verde</v>
      </c>
      <c r="C10" s="40" t="str">
        <f>VLOOKUP(A10,Materiales3[],4,FALSE)</f>
        <v>ML</v>
      </c>
      <c r="D10" s="41">
        <v>1.05</v>
      </c>
      <c r="E10" s="40">
        <f>VLOOKUP(A10,Materiales3[],5,FALSE)*D10</f>
        <v>6.1950000000000005E-2</v>
      </c>
      <c r="F10" s="42">
        <f>VLOOKUP(A10,Materiales3[],6,FALSE)</f>
        <v>0</v>
      </c>
      <c r="G10" s="42">
        <f>D10*F10</f>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f>+RENDIMIENTOS!C18</f>
        <v>3</v>
      </c>
      <c r="G15" s="51">
        <f>ROUND(D15/F15,0)</f>
        <v>0</v>
      </c>
    </row>
    <row r="16" spans="1:7">
      <c r="B16" s="43"/>
      <c r="C16" s="44"/>
      <c r="D16" s="46"/>
      <c r="E16" s="46"/>
      <c r="F16" s="52"/>
      <c r="G16" s="53"/>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52.9" customHeight="1">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2.57795</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v>1</v>
      </c>
      <c r="B29" s="64" t="str">
        <f>VLOOKUP(A29,ManoObra[],2,FALSE)</f>
        <v>Electricista</v>
      </c>
      <c r="C29" s="65">
        <f>VLOOKUP(A29,ManoObra[],8,FALSE)</f>
        <v>0</v>
      </c>
      <c r="D29" s="52">
        <f>+FP!E27</f>
        <v>0</v>
      </c>
      <c r="E29" s="52"/>
      <c r="F29" s="71">
        <f>F15</f>
        <v>3</v>
      </c>
      <c r="G29" s="51">
        <f>ROUND(C29*D29/F29,0)</f>
        <v>0</v>
      </c>
    </row>
    <row r="30" spans="1:7" ht="14.5">
      <c r="A30" s="89">
        <v>2</v>
      </c>
      <c r="B30" s="64" t="str">
        <f>VLOOKUP(A30,ManoObra[],2,FALSE)</f>
        <v>Ayudante</v>
      </c>
      <c r="C30" s="65">
        <f>VLOOKUP(A30,ManoObra[],8,FALSE)</f>
        <v>0</v>
      </c>
      <c r="D30" s="52">
        <f>+FP!E27</f>
        <v>0</v>
      </c>
      <c r="E30" s="52"/>
      <c r="F30" s="71">
        <f>F15</f>
        <v>3</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27FF-ACFA-4B25-8B37-77DB2F7B18F2}">
  <sheetPr codeName="Hoja23">
    <tabColor theme="4" tint="0.59999389629810485"/>
    <pageSetUpPr fitToPage="1"/>
  </sheetPr>
  <dimension ref="A1:G34"/>
  <sheetViews>
    <sheetView showGridLines="0" view="pageBreakPreview" zoomScale="80" zoomScaleNormal="120" zoomScaleSheetLayoutView="80" workbookViewId="0">
      <selection activeCell="A28" sqref="A28"/>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2010wp'!A10</f>
        <v>2.1.5</v>
      </c>
      <c r="D3" s="31"/>
      <c r="E3" s="31"/>
      <c r="F3" s="31"/>
      <c r="G3" s="32" t="s">
        <v>652</v>
      </c>
    </row>
    <row r="4" spans="1:7" ht="99.65" customHeight="1">
      <c r="B4" s="649" t="str">
        <f>+'PRES. SISFV 2010wp'!B10</f>
        <v xml:space="preserve">Suministro e Instalación de batería de ión - litio tipo fosfato de hierro (LiFePO4) de ciclo profundo de 120 Ah – 51.2 VDC - ≥6000 ciclos hasta el 80% DOD, con BMS integrado </v>
      </c>
      <c r="C4" s="655"/>
      <c r="D4" s="655"/>
      <c r="E4" s="656"/>
      <c r="G4" s="33" t="str">
        <f>+'PRES. SISFV 2010wp'!C10</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43.15" customHeight="1">
      <c r="A8" s="89">
        <v>26</v>
      </c>
      <c r="B8" s="69" t="str">
        <f>VLOOKUP(A8,Materiales3[],3,FALSE)</f>
        <v>Batería de LiFePO4 6.1 kWh - 48V - 120 Ah,6000 ciclos con DOD 80%, incluido BMS</v>
      </c>
      <c r="C8" s="40" t="str">
        <f>VLOOKUP(A8,Materiales3[],4,FALSE)</f>
        <v>UN</v>
      </c>
      <c r="D8" s="41">
        <v>1</v>
      </c>
      <c r="E8" s="40">
        <f>VLOOKUP(A8,Materiales3[],5,FALSE)*D8</f>
        <v>45</v>
      </c>
      <c r="F8" s="42">
        <f>VLOOKUP(A8,Materiales3[],6,FALSE)</f>
        <v>0</v>
      </c>
      <c r="G8" s="42">
        <f>D8*F8</f>
        <v>0</v>
      </c>
    </row>
    <row r="9" spans="1:7" ht="14.5">
      <c r="A9" s="89">
        <v>29</v>
      </c>
      <c r="B9" s="69" t="str">
        <f>VLOOKUP(A9,Materiales3[],3,FALSE)</f>
        <v>Terminales para batería. Par</v>
      </c>
      <c r="C9" s="40" t="str">
        <f>VLOOKUP(A9,Materiales3[],4,FALSE)</f>
        <v>JG</v>
      </c>
      <c r="D9" s="41">
        <v>1</v>
      </c>
      <c r="E9" s="40">
        <f>VLOOKUP(A9,Materiales3[],5,FALSE)*D9</f>
        <v>0.02</v>
      </c>
      <c r="F9" s="42">
        <f>VLOOKUP(A9,Materiales3[],6,FALSE)</f>
        <v>0</v>
      </c>
      <c r="G9" s="42">
        <f t="shared" ref="G9:G10" si="0">D9*F9</f>
        <v>0</v>
      </c>
    </row>
    <row r="10" spans="1:7" ht="14.5">
      <c r="A10" s="4">
        <v>241</v>
      </c>
      <c r="B10" s="69" t="str">
        <f>VLOOKUP(A10,Materiales3[],3,FALSE)&amp;" Verde"</f>
        <v>Cable Cu THHN 6 AWG Verde</v>
      </c>
      <c r="C10" s="40" t="str">
        <f>VLOOKUP(A10,Materiales3[],4,FALSE)</f>
        <v>ML</v>
      </c>
      <c r="D10" s="41">
        <v>1.05</v>
      </c>
      <c r="E10" s="40">
        <f>VLOOKUP(A10,Materiales3[],5,FALSE)*D10</f>
        <v>0.17640000000000003</v>
      </c>
      <c r="F10" s="42">
        <f>VLOOKUP(A10,Materiales3[],6,FALSE)</f>
        <v>0</v>
      </c>
      <c r="G10" s="42">
        <f t="shared" si="0"/>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f>+RENDIMIENTOS!C20</f>
        <v>4</v>
      </c>
      <c r="G15" s="51">
        <f>ROUND(D15/F15,0)</f>
        <v>0</v>
      </c>
    </row>
    <row r="16" spans="1:7">
      <c r="B16" s="43"/>
      <c r="C16" s="44"/>
      <c r="D16" s="46"/>
      <c r="E16" s="46"/>
      <c r="F16" s="52"/>
      <c r="G16" s="53"/>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50">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45.196400000000004</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v>1</v>
      </c>
      <c r="B29" s="64" t="str">
        <f>VLOOKUP(A29,ManoObra[],2,FALSE)</f>
        <v>Electricista</v>
      </c>
      <c r="C29" s="65">
        <f>VLOOKUP(A29,ManoObra[],8,FALSE)</f>
        <v>0</v>
      </c>
      <c r="D29" s="52">
        <f>+FP!E27</f>
        <v>0</v>
      </c>
      <c r="E29" s="52"/>
      <c r="F29" s="71">
        <f>F15</f>
        <v>4</v>
      </c>
      <c r="G29" s="51">
        <f>ROUND(C29*D29/F29,0)</f>
        <v>0</v>
      </c>
    </row>
    <row r="30" spans="1:7" ht="14.5">
      <c r="A30" s="89">
        <v>2</v>
      </c>
      <c r="B30" s="64" t="str">
        <f>VLOOKUP(A30,ManoObra[],2,FALSE)</f>
        <v>Ayudante</v>
      </c>
      <c r="C30" s="65">
        <f>VLOOKUP(A30,ManoObra[],8,FALSE)</f>
        <v>0</v>
      </c>
      <c r="D30" s="52">
        <f>+FP!E27</f>
        <v>0</v>
      </c>
      <c r="E30" s="52"/>
      <c r="F30" s="71">
        <f>F15</f>
        <v>4</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B30F-62AD-4A92-8D5E-99B0C1BFE148}">
  <sheetPr codeName="Hoja24">
    <tabColor theme="4" tint="0.59999389629810485"/>
    <pageSetUpPr fitToPage="1"/>
  </sheetPr>
  <dimension ref="A1:G34"/>
  <sheetViews>
    <sheetView showGridLines="0" view="pageBreakPreview" zoomScale="80" zoomScaleNormal="120" zoomScaleSheetLayoutView="80" workbookViewId="0">
      <selection activeCell="A28" sqref="A28"/>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2010wp'!A11</f>
        <v>2.1.6</v>
      </c>
      <c r="D3" s="31"/>
      <c r="E3" s="31"/>
      <c r="F3" s="31"/>
      <c r="G3" s="32" t="s">
        <v>652</v>
      </c>
    </row>
    <row r="4" spans="1:7" ht="63" customHeight="1">
      <c r="B4" s="649" t="str">
        <f>+'PRES. SISFV 2010wp'!B11</f>
        <v>Suministro e instalación de inversor tipo "off-grid" onda senoidal pura, potencia de 2000 W, 48 VDC entrada - 120 VAC salida, f=60 Hz, debe garantizar protección y desconexión por bajo voltaje en la batería, protección contra sobrecarga</v>
      </c>
      <c r="C4" s="655"/>
      <c r="D4" s="655"/>
      <c r="E4" s="656"/>
      <c r="G4" s="33" t="str">
        <f>+'PRES. SISFV 2010wp'!C11</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43.15" customHeight="1">
      <c r="A8" s="89">
        <v>149</v>
      </c>
      <c r="B8" s="69" t="str">
        <f>VLOOKUP(A8,Materiales3[],3,FALSE)</f>
        <v>Inversor de onda senoidal pura 48 VDC / 120 VAC -  2000 VA, FP=1</v>
      </c>
      <c r="C8" s="40" t="str">
        <f>VLOOKUP(A8,Materiales3[],4,FALSE)</f>
        <v>UN</v>
      </c>
      <c r="D8" s="41">
        <v>1</v>
      </c>
      <c r="E8" s="40">
        <f>VLOOKUP(A8,Materiales3[],5,FALSE)*D8</f>
        <v>4.5999999999999996</v>
      </c>
      <c r="F8" s="42">
        <f>VLOOKUP(A8,Materiales3[],6,FALSE)</f>
        <v>0</v>
      </c>
      <c r="G8" s="42">
        <f>D8*F8</f>
        <v>0</v>
      </c>
    </row>
    <row r="9" spans="1:7" ht="14.5">
      <c r="A9" s="89">
        <v>24</v>
      </c>
      <c r="B9" s="69" t="str">
        <f>VLOOKUP(A9,Materiales3[],3,FALSE)</f>
        <v>Borna para ponchar varios calibres y terminales</v>
      </c>
      <c r="C9" s="40" t="str">
        <f>VLOOKUP(A9,Materiales3[],4,FALSE)</f>
        <v>UN</v>
      </c>
      <c r="D9" s="41">
        <v>2</v>
      </c>
      <c r="E9" s="40">
        <f>VLOOKUP(A9,Materiales3[],5,FALSE)*D9</f>
        <v>1.6E-2</v>
      </c>
      <c r="F9" s="42">
        <f>VLOOKUP(A9,Materiales3[],6,FALSE)</f>
        <v>0</v>
      </c>
      <c r="G9" s="42">
        <f>D9*F9</f>
        <v>0</v>
      </c>
    </row>
    <row r="10" spans="1:7" ht="14.5">
      <c r="A10" s="4">
        <v>246</v>
      </c>
      <c r="B10" s="69" t="str">
        <f>VLOOKUP(A10,Materiales3[],3,FALSE)&amp;" Verde"</f>
        <v>Cable Cu THHN 8 AWG Verde</v>
      </c>
      <c r="C10" s="40" t="str">
        <f>VLOOKUP(A10,Materiales3[],4,FALSE)</f>
        <v>ML</v>
      </c>
      <c r="D10" s="41">
        <v>1.05</v>
      </c>
      <c r="E10" s="40">
        <f>VLOOKUP(A10,Materiales3[],5,FALSE)*D10</f>
        <v>0.1008</v>
      </c>
      <c r="F10" s="42">
        <f>VLOOKUP(A10,Materiales3[],6,FALSE)</f>
        <v>0</v>
      </c>
      <c r="G10" s="42">
        <f>D10*F10</f>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f>+RENDIMIENTOS!C19</f>
        <v>3</v>
      </c>
      <c r="G15" s="51">
        <f>ROUND(D15/F15,0)</f>
        <v>0</v>
      </c>
    </row>
    <row r="16" spans="1:7">
      <c r="B16" s="43"/>
      <c r="C16" s="44"/>
      <c r="D16" s="46"/>
      <c r="E16" s="46"/>
      <c r="F16" s="52"/>
      <c r="G16" s="53"/>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50">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4.7167999999999992</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v>1</v>
      </c>
      <c r="B29" s="64" t="str">
        <f>VLOOKUP(A29,ManoObra[],2,FALSE)</f>
        <v>Electricista</v>
      </c>
      <c r="C29" s="65">
        <f>VLOOKUP(A29,ManoObra[],8,FALSE)</f>
        <v>0</v>
      </c>
      <c r="D29" s="52">
        <f>+FP!E27</f>
        <v>0</v>
      </c>
      <c r="E29" s="52"/>
      <c r="F29" s="71">
        <f>F15</f>
        <v>3</v>
      </c>
      <c r="G29" s="51">
        <f>ROUND(C29*D29/F29,0)</f>
        <v>0</v>
      </c>
    </row>
    <row r="30" spans="1:7" ht="14.5">
      <c r="A30" s="89">
        <v>2</v>
      </c>
      <c r="B30" s="64" t="str">
        <f>VLOOKUP(A30,ManoObra[],2,FALSE)</f>
        <v>Ayudante</v>
      </c>
      <c r="C30" s="65">
        <f>VLOOKUP(A30,ManoObra[],8,FALSE)</f>
        <v>0</v>
      </c>
      <c r="D30" s="52">
        <f>+FP!E27</f>
        <v>0</v>
      </c>
      <c r="E30" s="52"/>
      <c r="F30" s="71">
        <f>F15</f>
        <v>3</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8BC9-7EB2-4D19-8909-F179F7A6BF18}">
  <sheetPr codeName="Hoja25">
    <tabColor theme="4" tint="0.59999389629810485"/>
    <pageSetUpPr fitToPage="1"/>
  </sheetPr>
  <dimension ref="A1:G37"/>
  <sheetViews>
    <sheetView showGridLines="0" view="pageBreakPreview" topLeftCell="A25" zoomScale="80" zoomScaleNormal="120" zoomScaleSheetLayoutView="80" workbookViewId="0">
      <selection activeCell="A36" sqref="A29:A36"/>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2010wp'!A12</f>
        <v>2.1.7</v>
      </c>
      <c r="D3" s="31"/>
      <c r="E3" s="31"/>
      <c r="F3" s="31"/>
      <c r="G3" s="32" t="s">
        <v>652</v>
      </c>
    </row>
    <row r="4" spans="1:7" ht="61.9" customHeight="1">
      <c r="B4" s="657" t="str">
        <f>+'PRES. SISFV 2010wp'!B12</f>
        <v>Sistema de puesta a tierra con una varilla de cobre 5/8" x 2,4m, bajante en cable de cobre desnudo temple duro o verde Nº 6, con soldadura exotérmica y tratamiento de suelos, caja de inspección de 30 x 30 cm.</v>
      </c>
      <c r="C4" s="658"/>
      <c r="D4" s="658"/>
      <c r="E4" s="659"/>
      <c r="G4" s="33" t="str">
        <f>+'PRES. SISFV 2010wp'!C12</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68</v>
      </c>
      <c r="B8" s="69" t="str">
        <f>VLOOKUP(A8,Materiales3[],3,FALSE)</f>
        <v>Varilla de cobre 5/8 x 2.4 m</v>
      </c>
      <c r="C8" s="40" t="str">
        <f>VLOOKUP(A8,Materiales3[],4,FALSE)</f>
        <v>UN</v>
      </c>
      <c r="D8" s="40">
        <v>1</v>
      </c>
      <c r="E8" s="40">
        <f>VLOOKUP(A8,Materiales3[],5,FALSE)*D8</f>
        <v>3.07</v>
      </c>
      <c r="F8" s="42">
        <f>VLOOKUP(A8,Materiales3[],6,FALSE)</f>
        <v>0</v>
      </c>
      <c r="G8" s="42">
        <f>D8*F8</f>
        <v>0</v>
      </c>
    </row>
    <row r="9" spans="1:7" ht="14.5">
      <c r="A9" s="89">
        <v>72</v>
      </c>
      <c r="B9" s="69" t="str">
        <f>VLOOKUP(A9,Materiales3[],3,FALSE)</f>
        <v>Caja de inspección 30x30 cm con tapa</v>
      </c>
      <c r="C9" s="40" t="str">
        <f>VLOOKUP(A9,Materiales3[],4,FALSE)</f>
        <v>UN</v>
      </c>
      <c r="D9" s="40">
        <v>1</v>
      </c>
      <c r="E9" s="40">
        <f>VLOOKUP(A9,Materiales3[],5,FALSE)*D9</f>
        <v>4</v>
      </c>
      <c r="F9" s="42">
        <f>VLOOKUP(A9,Materiales3[],6,FALSE)</f>
        <v>0</v>
      </c>
      <c r="G9" s="42">
        <f t="shared" ref="G9:G13" si="0">D9*F9</f>
        <v>0</v>
      </c>
    </row>
    <row r="10" spans="1:7" ht="14.5">
      <c r="A10" s="89">
        <v>24</v>
      </c>
      <c r="B10" s="69" t="str">
        <f>VLOOKUP(A10,Materiales3[],3,FALSE)</f>
        <v>Borna para ponchar varios calibres y terminales</v>
      </c>
      <c r="C10" s="40" t="str">
        <f>VLOOKUP(A10,Materiales3[],4,FALSE)</f>
        <v>UN</v>
      </c>
      <c r="D10" s="40">
        <v>2</v>
      </c>
      <c r="E10" s="40">
        <f>VLOOKUP(A10,Materiales3[],5,FALSE)*D10</f>
        <v>1.6E-2</v>
      </c>
      <c r="F10" s="42">
        <f>VLOOKUP(A10,Materiales3[],6,FALSE)</f>
        <v>0</v>
      </c>
      <c r="G10" s="42">
        <f t="shared" si="0"/>
        <v>0</v>
      </c>
    </row>
    <row r="11" spans="1:7" ht="14.5">
      <c r="A11" s="89">
        <v>69</v>
      </c>
      <c r="B11" s="69" t="str">
        <f>VLOOKUP(A11,Materiales3[],3,FALSE)</f>
        <v>Soldadura exotermina 90 gr</v>
      </c>
      <c r="C11" s="40" t="str">
        <f>VLOOKUP(A11,Materiales3[],4,FALSE)</f>
        <v>UN</v>
      </c>
      <c r="D11" s="40">
        <v>2</v>
      </c>
      <c r="E11" s="40">
        <f>VLOOKUP(A11,Materiales3[],5,FALSE)*D11</f>
        <v>0.18</v>
      </c>
      <c r="F11" s="42">
        <f>VLOOKUP(A11,Materiales3[],6,FALSE)</f>
        <v>0</v>
      </c>
      <c r="G11" s="42">
        <f t="shared" si="0"/>
        <v>0</v>
      </c>
    </row>
    <row r="12" spans="1:7" ht="14.5">
      <c r="A12" s="89">
        <v>212</v>
      </c>
      <c r="B12" s="69" t="str">
        <f>VLOOKUP(A12,Materiales3[],3,FALSE)</f>
        <v>Cable de Cobre Desnudo. 6 AWG</v>
      </c>
      <c r="C12" s="40" t="str">
        <f>VLOOKUP(A12,Materiales3[],4,FALSE)</f>
        <v>ML</v>
      </c>
      <c r="D12" s="40">
        <f>3+1</f>
        <v>4</v>
      </c>
      <c r="E12" s="40">
        <f>VLOOKUP(A12,Materiales3[],5,FALSE)*D12</f>
        <v>0.48</v>
      </c>
      <c r="F12" s="42">
        <f>VLOOKUP(A12,Materiales3[],6,FALSE)</f>
        <v>0</v>
      </c>
      <c r="G12" s="42">
        <f t="shared" si="0"/>
        <v>0</v>
      </c>
    </row>
    <row r="13" spans="1:7" ht="14.5">
      <c r="A13" s="89">
        <v>245</v>
      </c>
      <c r="B13" s="69" t="str">
        <f>VLOOKUP(A13,Materiales3[],3,FALSE)</f>
        <v>Bentonita mejorada</v>
      </c>
      <c r="C13" s="40" t="str">
        <f>VLOOKUP(A13,Materiales3[],4,FALSE)</f>
        <v>BULTO</v>
      </c>
      <c r="D13" s="40">
        <v>0.5</v>
      </c>
      <c r="E13" s="40">
        <f>VLOOKUP(A13,Materiales3[],5,FALSE)*D13</f>
        <v>25</v>
      </c>
      <c r="F13" s="42">
        <f>VLOOKUP(A13,Materiales3[],6,FALSE)</f>
        <v>0</v>
      </c>
      <c r="G13" s="42">
        <f t="shared" si="0"/>
        <v>0</v>
      </c>
    </row>
    <row r="14" spans="1:7" ht="13">
      <c r="D14" s="47"/>
      <c r="E14" s="47"/>
      <c r="F14" s="48" t="s">
        <v>654</v>
      </c>
      <c r="G14" s="49">
        <f>SUM(G8:G13)</f>
        <v>0</v>
      </c>
    </row>
    <row r="15" spans="1:7">
      <c r="G15" s="73"/>
    </row>
    <row r="16" spans="1:7" ht="13">
      <c r="B16" s="50" t="s">
        <v>655</v>
      </c>
      <c r="G16" s="74"/>
    </row>
    <row r="17" spans="1:7" ht="13">
      <c r="A17" s="88" t="s">
        <v>138</v>
      </c>
      <c r="B17" s="37" t="s">
        <v>19</v>
      </c>
      <c r="C17" s="38" t="s">
        <v>665</v>
      </c>
      <c r="D17" s="38" t="s">
        <v>656</v>
      </c>
      <c r="E17" s="38"/>
      <c r="F17" s="38" t="s">
        <v>21</v>
      </c>
      <c r="G17" s="38" t="s">
        <v>286</v>
      </c>
    </row>
    <row r="18" spans="1:7" ht="14.5">
      <c r="A18" s="89">
        <v>1</v>
      </c>
      <c r="B18" s="43" t="str">
        <f>VLOOKUP(A18,Equipoyherramienta[],2,FALSE)</f>
        <v>Herramienta menor</v>
      </c>
      <c r="C18" s="44" t="str">
        <f>VLOOKUP(A18,Equipoyherramienta[],3,FALSE)</f>
        <v>UN</v>
      </c>
      <c r="D18" s="51">
        <f>VLOOKUP(A18,Equipoyherramienta[],4,FALSE)</f>
        <v>0</v>
      </c>
      <c r="E18" s="51"/>
      <c r="F18" s="71">
        <f>+RENDIMIENTOS!C45</f>
        <v>2</v>
      </c>
      <c r="G18" s="51">
        <f>ROUND(D18/F18,0)</f>
        <v>0</v>
      </c>
    </row>
    <row r="19" spans="1:7">
      <c r="B19" s="43"/>
      <c r="C19" s="44"/>
      <c r="D19" s="46"/>
      <c r="E19" s="46"/>
      <c r="F19" s="52"/>
      <c r="G19" s="53"/>
    </row>
    <row r="20" spans="1:7">
      <c r="B20" s="43"/>
      <c r="C20" s="44"/>
      <c r="D20" s="46"/>
      <c r="E20" s="46"/>
      <c r="F20" s="52"/>
      <c r="G20" s="53"/>
    </row>
    <row r="21" spans="1:7" ht="13">
      <c r="D21" s="47"/>
      <c r="E21" s="47"/>
      <c r="F21" s="48" t="s">
        <v>654</v>
      </c>
      <c r="G21" s="49">
        <f>SUM(G18:G20)</f>
        <v>0</v>
      </c>
    </row>
    <row r="22" spans="1:7" ht="13">
      <c r="D22" s="47"/>
      <c r="E22" s="47"/>
      <c r="F22" s="47"/>
      <c r="G22" s="54"/>
    </row>
    <row r="23" spans="1:7" ht="13">
      <c r="B23" s="36" t="s">
        <v>657</v>
      </c>
      <c r="G23" s="55"/>
    </row>
    <row r="24" spans="1:7" ht="13">
      <c r="A24" s="88" t="s">
        <v>138</v>
      </c>
      <c r="B24" s="37" t="s">
        <v>19</v>
      </c>
      <c r="C24" s="38" t="s">
        <v>284</v>
      </c>
      <c r="D24" s="38" t="s">
        <v>410</v>
      </c>
      <c r="E24" s="38"/>
      <c r="F24" s="38" t="s">
        <v>666</v>
      </c>
      <c r="G24" s="56" t="s">
        <v>286</v>
      </c>
    </row>
    <row r="25" spans="1:7"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SUM(E8:E13)</f>
        <v>32.746000000000002</v>
      </c>
      <c r="E25" s="41"/>
      <c r="F25" s="59">
        <f>VLOOKUP(A25,Transp.[],6,FALSE)</f>
        <v>0</v>
      </c>
      <c r="G25" s="59">
        <f>D25*F25</f>
        <v>0</v>
      </c>
    </row>
    <row r="26" spans="1:7" ht="13.15" customHeight="1">
      <c r="A26" s="89"/>
      <c r="B26" s="57"/>
      <c r="C26" s="40"/>
      <c r="D26" s="41"/>
      <c r="E26" s="41"/>
      <c r="F26" s="59"/>
      <c r="G26" s="59"/>
    </row>
    <row r="27" spans="1:7" ht="13.15" customHeight="1">
      <c r="A27" s="89"/>
      <c r="B27" s="57"/>
      <c r="C27" s="40"/>
      <c r="D27" s="41"/>
      <c r="E27" s="41"/>
      <c r="F27" s="59"/>
      <c r="G27" s="59"/>
    </row>
    <row r="28" spans="1:7" ht="13">
      <c r="D28" s="47"/>
      <c r="E28" s="47"/>
      <c r="F28" s="61" t="s">
        <v>654</v>
      </c>
      <c r="G28" s="49">
        <f>SUM(G25:G27)</f>
        <v>0</v>
      </c>
    </row>
    <row r="30" spans="1:7" ht="13">
      <c r="B30" s="36" t="s">
        <v>661</v>
      </c>
      <c r="D30" s="62"/>
      <c r="E30" s="62"/>
      <c r="F30" s="63"/>
      <c r="G30" s="55"/>
    </row>
    <row r="31" spans="1:7" s="47" customFormat="1" ht="13">
      <c r="A31" s="88" t="s">
        <v>138</v>
      </c>
      <c r="B31" s="38" t="s">
        <v>19</v>
      </c>
      <c r="C31" s="38" t="s">
        <v>662</v>
      </c>
      <c r="D31" s="38" t="s">
        <v>663</v>
      </c>
      <c r="E31" s="38"/>
      <c r="F31" s="38" t="s">
        <v>21</v>
      </c>
      <c r="G31" s="56" t="s">
        <v>286</v>
      </c>
    </row>
    <row r="32" spans="1:7" ht="14.5">
      <c r="A32" s="89">
        <v>1</v>
      </c>
      <c r="B32" s="64" t="str">
        <f>VLOOKUP(A32,ManoObra[],2,FALSE)</f>
        <v>Electricista</v>
      </c>
      <c r="C32" s="65">
        <f>VLOOKUP(A32,ManoObra[],8,FALSE)</f>
        <v>0</v>
      </c>
      <c r="D32" s="52">
        <f>+FP!E27</f>
        <v>0</v>
      </c>
      <c r="E32" s="52"/>
      <c r="F32" s="71">
        <f>F18</f>
        <v>2</v>
      </c>
      <c r="G32" s="51">
        <f>ROUND(C32*D32/F32,0)</f>
        <v>0</v>
      </c>
    </row>
    <row r="33" spans="1:7" ht="14.5">
      <c r="A33" s="89">
        <v>2</v>
      </c>
      <c r="B33" s="64" t="str">
        <f>VLOOKUP(A33,ManoObra[],2,FALSE)</f>
        <v>Ayudante</v>
      </c>
      <c r="C33" s="65">
        <f>VLOOKUP(A33,ManoObra[],8,FALSE)</f>
        <v>0</v>
      </c>
      <c r="D33" s="52">
        <f>+FP!E27</f>
        <v>0</v>
      </c>
      <c r="E33" s="52"/>
      <c r="F33" s="71">
        <f>F18</f>
        <v>2</v>
      </c>
      <c r="G33" s="51">
        <f>ROUND(C33*D33/F33,0)</f>
        <v>0</v>
      </c>
    </row>
    <row r="34" spans="1:7" ht="14.5">
      <c r="A34" s="89"/>
      <c r="B34" s="70"/>
      <c r="C34" s="65"/>
      <c r="D34" s="52"/>
      <c r="E34" s="52"/>
      <c r="F34" s="45"/>
      <c r="G34" s="51"/>
    </row>
    <row r="35" spans="1:7" ht="13">
      <c r="D35" s="47"/>
      <c r="E35" s="47"/>
      <c r="F35" s="61" t="s">
        <v>654</v>
      </c>
      <c r="G35" s="75">
        <f>SUM(G32:G34)</f>
        <v>0</v>
      </c>
    </row>
    <row r="36" spans="1:7" ht="13">
      <c r="D36" s="47"/>
      <c r="E36" s="47"/>
      <c r="G36" s="55"/>
    </row>
    <row r="37" spans="1:7" ht="12.75" customHeight="1">
      <c r="B37" s="47"/>
      <c r="D37" s="652" t="s">
        <v>664</v>
      </c>
      <c r="E37" s="654"/>
      <c r="F37" s="653"/>
      <c r="G37" s="66">
        <f>G14+G21+G28+G35</f>
        <v>0</v>
      </c>
    </row>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8A30-257B-4A80-ADDF-E275FA26920D}">
  <sheetPr codeName="Hoja26">
    <tabColor theme="4" tint="0.59999389629810485"/>
    <pageSetUpPr fitToPage="1"/>
  </sheetPr>
  <dimension ref="A1:Q63"/>
  <sheetViews>
    <sheetView showGridLines="0" view="pageBreakPreview" zoomScale="80" zoomScaleNormal="120" zoomScaleSheetLayoutView="80" workbookViewId="0">
      <selection activeCell="A4" sqref="A4:A62"/>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1" width="11.453125" style="29"/>
    <col min="12" max="12" width="26.81640625" style="29" customWidth="1"/>
    <col min="13"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2010wp'!A14</f>
        <v>2.2.1</v>
      </c>
      <c r="D3" s="31"/>
      <c r="E3" s="31"/>
      <c r="F3" s="31"/>
      <c r="G3" s="32" t="s">
        <v>652</v>
      </c>
    </row>
    <row r="4" spans="1:7" ht="61.9" customHeight="1">
      <c r="B4" s="657" t="str">
        <f>+'PRES. SISFV 2010wp'!B14</f>
        <v>Suministro e instalación de poste reforzado en fibra de vidrio de h=4m, 510kgf. contiene: tapa en la cima y base, soporte metálico galvanizado fijo para 3 paneles solares y cimentación en cocreto reforzado de 3000 PSI (incluye excavación).</v>
      </c>
      <c r="C4" s="658"/>
      <c r="D4" s="658"/>
      <c r="E4" s="659"/>
      <c r="G4" s="33" t="str">
        <f>+'PRES. SISFV 2010wp'!C14</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163"/>
      <c r="B8" s="164" t="s">
        <v>668</v>
      </c>
      <c r="C8" s="40"/>
      <c r="D8" s="40"/>
      <c r="E8" s="40"/>
      <c r="F8" s="42"/>
      <c r="G8" s="42"/>
    </row>
    <row r="9" spans="1:7" ht="25">
      <c r="A9" s="89">
        <v>91</v>
      </c>
      <c r="B9" s="69" t="str">
        <f>VLOOKUP(A9,Materiales3[],3,FALSE)</f>
        <v>Agregado fino para concreto (tamaño máximo 4,75mm - arena natural o trituración de roca, gravas, y/o escorias)</v>
      </c>
      <c r="C9" s="40" t="str">
        <f>VLOOKUP(A9,Materiales3[],4,FALSE)</f>
        <v>m3</v>
      </c>
      <c r="D9" s="40" t="e">
        <f>+#REF!</f>
        <v>#REF!</v>
      </c>
      <c r="E9" s="40" t="e">
        <f>VLOOKUP(A9,Materiales3[],5,FALSE)*D9</f>
        <v>#REF!</v>
      </c>
      <c r="F9" s="42">
        <f>VLOOKUP(A9,Materiales3[],6,FALSE)</f>
        <v>0</v>
      </c>
      <c r="G9" s="42" t="e">
        <f t="shared" ref="G9:G13" si="0">D9*F9</f>
        <v>#REF!</v>
      </c>
    </row>
    <row r="10" spans="1:7" ht="25">
      <c r="A10" s="89">
        <v>90</v>
      </c>
      <c r="B10" s="69" t="str">
        <f>VLOOKUP(A10,Materiales3[],3,FALSE)</f>
        <v>Agregado grueso (grava, grava triturada y/o roca triturada)</v>
      </c>
      <c r="C10" s="40" t="str">
        <f>VLOOKUP(A10,Materiales3[],4,FALSE)</f>
        <v>m3</v>
      </c>
      <c r="D10" s="40" t="e">
        <f>+#REF!</f>
        <v>#REF!</v>
      </c>
      <c r="E10" s="40" t="e">
        <f>VLOOKUP(A10,Materiales3[],5,FALSE)*D10</f>
        <v>#REF!</v>
      </c>
      <c r="F10" s="42">
        <f>VLOOKUP(A10,Materiales3[],6,FALSE)</f>
        <v>0</v>
      </c>
      <c r="G10" s="42" t="e">
        <f t="shared" si="0"/>
        <v>#REF!</v>
      </c>
    </row>
    <row r="11" spans="1:7" ht="14.5">
      <c r="A11" s="89">
        <v>89</v>
      </c>
      <c r="B11" s="69" t="str">
        <f>VLOOKUP(A11,Materiales3[],3,FALSE)</f>
        <v>Agua</v>
      </c>
      <c r="C11" s="40" t="str">
        <f>VLOOKUP(A11,Materiales3[],4,FALSE)</f>
        <v>L</v>
      </c>
      <c r="D11" s="40" t="e">
        <f>+#REF!</f>
        <v>#REF!</v>
      </c>
      <c r="E11" s="40" t="e">
        <f>VLOOKUP(A11,Materiales3[],5,FALSE)*D11</f>
        <v>#REF!</v>
      </c>
      <c r="F11" s="42">
        <f>VLOOKUP(A11,Materiales3[],6,FALSE)</f>
        <v>0</v>
      </c>
      <c r="G11" s="42" t="e">
        <f t="shared" si="0"/>
        <v>#REF!</v>
      </c>
    </row>
    <row r="12" spans="1:7" ht="14.5">
      <c r="A12" s="89">
        <v>92</v>
      </c>
      <c r="B12" s="69" t="str">
        <f>VLOOKUP(A12,Materiales3[],3,FALSE)</f>
        <v>Cemento hidráulico tipo ART</v>
      </c>
      <c r="C12" s="40" t="str">
        <f>VLOOKUP(A12,Materiales3[],4,FALSE)</f>
        <v>kg</v>
      </c>
      <c r="D12" s="40" t="e">
        <f>+#REF!</f>
        <v>#REF!</v>
      </c>
      <c r="E12" s="40" t="e">
        <f>VLOOKUP(A12,Materiales3[],5,FALSE)*D12</f>
        <v>#REF!</v>
      </c>
      <c r="F12" s="42">
        <f>VLOOKUP(A12,Materiales3[],6,FALSE)</f>
        <v>0</v>
      </c>
      <c r="G12" s="42" t="e">
        <f t="shared" si="0"/>
        <v>#REF!</v>
      </c>
    </row>
    <row r="13" spans="1:7" ht="14.5">
      <c r="A13" s="89"/>
      <c r="B13" s="69" t="s">
        <v>669</v>
      </c>
      <c r="C13" s="40"/>
      <c r="D13" s="40">
        <v>0.05</v>
      </c>
      <c r="E13" s="40" t="e">
        <f>+(E9+E10+E11+E12)*D13</f>
        <v>#REF!</v>
      </c>
      <c r="F13" s="42" t="e">
        <f>+(G9+G10+G11+G12)</f>
        <v>#REF!</v>
      </c>
      <c r="G13" s="42" t="e">
        <f t="shared" si="0"/>
        <v>#REF!</v>
      </c>
    </row>
    <row r="14" spans="1:7" ht="14.5">
      <c r="A14" s="89"/>
      <c r="B14" s="164" t="s">
        <v>670</v>
      </c>
      <c r="C14" s="40"/>
      <c r="D14" s="40"/>
      <c r="E14" s="40"/>
      <c r="F14" s="42"/>
      <c r="G14" s="42"/>
    </row>
    <row r="15" spans="1:7" ht="14.5">
      <c r="A15" s="89">
        <v>150</v>
      </c>
      <c r="B15" s="69" t="str">
        <f>VLOOKUP(A15,Materiales3[],3,FALSE)</f>
        <v>Malla electrosoldada 150x150x5mm ASTM 706</v>
      </c>
      <c r="C15" s="40" t="str">
        <f>VLOOKUP(A15,Materiales3[],4,FALSE)</f>
        <v>kg</v>
      </c>
      <c r="D15" s="40" t="e">
        <f>+#REF!</f>
        <v>#REF!</v>
      </c>
      <c r="E15" s="40" t="e">
        <f>VLOOKUP(A15,Materiales3[],5,FALSE)*D15</f>
        <v>#REF!</v>
      </c>
      <c r="F15" s="42">
        <f>VLOOKUP(A15,Materiales3[],6,FALSE)</f>
        <v>0</v>
      </c>
      <c r="G15" s="42" t="e">
        <f t="shared" ref="G15:G16" si="1">D15*F15</f>
        <v>#REF!</v>
      </c>
    </row>
    <row r="16" spans="1:7" ht="14.5">
      <c r="A16" s="89"/>
      <c r="B16" s="69" t="s">
        <v>671</v>
      </c>
      <c r="C16" s="40"/>
      <c r="D16" s="40">
        <v>0.15</v>
      </c>
      <c r="E16" s="40" t="e">
        <f>+(E15)*D16</f>
        <v>#REF!</v>
      </c>
      <c r="F16" s="42" t="e">
        <f>+(G15)</f>
        <v>#REF!</v>
      </c>
      <c r="G16" s="42" t="e">
        <f t="shared" si="1"/>
        <v>#REF!</v>
      </c>
    </row>
    <row r="17" spans="1:7" ht="14.5">
      <c r="A17" s="89"/>
      <c r="B17" s="164" t="s">
        <v>414</v>
      </c>
      <c r="C17" s="40"/>
      <c r="D17" s="40"/>
      <c r="E17" s="40"/>
      <c r="F17" s="42"/>
      <c r="G17" s="42"/>
    </row>
    <row r="18" spans="1:7" ht="14.5">
      <c r="A18" s="89">
        <v>379</v>
      </c>
      <c r="B18" s="69" t="str">
        <f>VLOOKUP(A18,Materiales3[],3,FALSE)</f>
        <v xml:space="preserve">Angulo L ASTM A572 Gr. 50 galvanizado 1/4"x2" </v>
      </c>
      <c r="C18" s="40" t="str">
        <f>VLOOKUP(A18,Materiales3[],4,FALSE)</f>
        <v>kg</v>
      </c>
      <c r="D18" s="40" t="e">
        <f>+#REF!</f>
        <v>#REF!</v>
      </c>
      <c r="E18" s="40" t="e">
        <f>VLOOKUP(A18,Materiales3[],5,FALSE)*D18</f>
        <v>#REF!</v>
      </c>
      <c r="F18" s="42">
        <f>VLOOKUP(A18,Materiales3[],6,FALSE)</f>
        <v>0</v>
      </c>
      <c r="G18" s="42" t="e">
        <f t="shared" ref="G18:G27" si="2">D18*F18</f>
        <v>#REF!</v>
      </c>
    </row>
    <row r="19" spans="1:7" ht="14.5">
      <c r="A19" s="89">
        <v>371</v>
      </c>
      <c r="B19" s="69" t="str">
        <f>VLOOKUP(A19,Materiales3[],3,FALSE)</f>
        <v>Angulo L ASTM A572 Gr. 50 galvanizado 1/8"x1 1/2"</v>
      </c>
      <c r="C19" s="40" t="str">
        <f>VLOOKUP(A19,Materiales3[],4,FALSE)</f>
        <v>kg</v>
      </c>
      <c r="D19" s="40" t="e">
        <f>+#REF!</f>
        <v>#REF!</v>
      </c>
      <c r="E19" s="40" t="e">
        <f>VLOOKUP(A19,Materiales3[],5,FALSE)*D19</f>
        <v>#REF!</v>
      </c>
      <c r="F19" s="42">
        <f>VLOOKUP(A19,Materiales3[],6,FALSE)</f>
        <v>0</v>
      </c>
      <c r="G19" s="42" t="e">
        <f t="shared" si="2"/>
        <v>#REF!</v>
      </c>
    </row>
    <row r="20" spans="1:7" ht="14.5">
      <c r="A20" s="89">
        <v>378</v>
      </c>
      <c r="B20" s="69" t="str">
        <f>VLOOKUP(A20,Materiales3[],3,FALSE)</f>
        <v xml:space="preserve">Angulo L ASTM A572 Gr. 50 galvanizado 3/16"x2 1/2" </v>
      </c>
      <c r="C20" s="40" t="str">
        <f>VLOOKUP(A20,Materiales3[],4,FALSE)</f>
        <v>kg</v>
      </c>
      <c r="D20" s="40" t="e">
        <f>+#REF!</f>
        <v>#REF!</v>
      </c>
      <c r="E20" s="40" t="e">
        <f>VLOOKUP(A20,Materiales3[],5,FALSE)*D20</f>
        <v>#REF!</v>
      </c>
      <c r="F20" s="42">
        <f>VLOOKUP(A20,Materiales3[],6,FALSE)</f>
        <v>0</v>
      </c>
      <c r="G20" s="42" t="e">
        <f t="shared" si="2"/>
        <v>#REF!</v>
      </c>
    </row>
    <row r="21" spans="1:7" ht="14.5">
      <c r="A21" s="89">
        <v>378</v>
      </c>
      <c r="B21" s="69" t="str">
        <f>VLOOKUP(A21,Materiales3[],3,FALSE)</f>
        <v xml:space="preserve">Angulo L ASTM A572 Gr. 50 galvanizado 3/16"x2 1/2" </v>
      </c>
      <c r="C21" s="40" t="str">
        <f>VLOOKUP(A21,Materiales3[],4,FALSE)</f>
        <v>kg</v>
      </c>
      <c r="D21" s="40" t="e">
        <f>+#REF!</f>
        <v>#REF!</v>
      </c>
      <c r="E21" s="40" t="e">
        <f>VLOOKUP(A21,Materiales3[],5,FALSE)*D21</f>
        <v>#REF!</v>
      </c>
      <c r="F21" s="42">
        <f>VLOOKUP(A21,Materiales3[],6,FALSE)</f>
        <v>0</v>
      </c>
      <c r="G21" s="42" t="e">
        <f t="shared" si="2"/>
        <v>#REF!</v>
      </c>
    </row>
    <row r="22" spans="1:7" ht="14.5">
      <c r="A22" s="89">
        <v>373</v>
      </c>
      <c r="B22" s="69" t="str">
        <f>VLOOKUP(A22,Materiales3[],3,FALSE)</f>
        <v>Platina ASTM A36 300x300, e=9,53mm</v>
      </c>
      <c r="C22" s="40" t="str">
        <f>VLOOKUP(A22,Materiales3[],4,FALSE)</f>
        <v>m2</v>
      </c>
      <c r="D22" s="40">
        <f>0.3*0.3</f>
        <v>0.09</v>
      </c>
      <c r="E22" s="40">
        <f>VLOOKUP(A22,Materiales3[],5,FALSE)*D22</f>
        <v>6.7364999999999995</v>
      </c>
      <c r="F22" s="42">
        <f>VLOOKUP(A22,Materiales3[],6,FALSE)</f>
        <v>0</v>
      </c>
      <c r="G22" s="42">
        <f t="shared" si="2"/>
        <v>0</v>
      </c>
    </row>
    <row r="23" spans="1:7" ht="14.5">
      <c r="A23" s="89">
        <v>374</v>
      </c>
      <c r="B23" s="69" t="str">
        <f>VLOOKUP(A23,Materiales3[],3,FALSE)</f>
        <v xml:space="preserve">Platina ASTM A36 200 x 50, e=6,35mm </v>
      </c>
      <c r="C23" s="40" t="str">
        <f>VLOOKUP(A23,Materiales3[],4,FALSE)</f>
        <v>m2</v>
      </c>
      <c r="D23" s="40">
        <f>0.2*0.05*4</f>
        <v>4.0000000000000008E-2</v>
      </c>
      <c r="E23" s="40">
        <f>VLOOKUP(A23,Materiales3[],5,FALSE)*D23</f>
        <v>1.9948000000000004</v>
      </c>
      <c r="F23" s="42">
        <f>VLOOKUP(A23,Materiales3[],6,FALSE)</f>
        <v>0</v>
      </c>
      <c r="G23" s="42">
        <f t="shared" si="2"/>
        <v>0</v>
      </c>
    </row>
    <row r="24" spans="1:7" ht="14.5">
      <c r="A24" s="89">
        <v>375</v>
      </c>
      <c r="B24" s="69" t="str">
        <f>VLOOKUP(A24,Materiales3[],3,FALSE)</f>
        <v>Soldadura electrodo E7018</v>
      </c>
      <c r="C24" s="40" t="str">
        <f>VLOOKUP(A24,Materiales3[],4,FALSE)</f>
        <v>kg</v>
      </c>
      <c r="D24" s="40">
        <f>0.5</f>
        <v>0.5</v>
      </c>
      <c r="E24" s="40">
        <f>VLOOKUP(A24,Materiales3[],5,FALSE)*D24</f>
        <v>0.5</v>
      </c>
      <c r="F24" s="42">
        <f>VLOOKUP(A24,Materiales3[],6,FALSE)</f>
        <v>0</v>
      </c>
      <c r="G24" s="42">
        <f t="shared" si="2"/>
        <v>0</v>
      </c>
    </row>
    <row r="25" spans="1:7" ht="14.5">
      <c r="A25" s="89">
        <v>376</v>
      </c>
      <c r="B25" s="69" t="str">
        <f>VLOOKUP(A25,Materiales3[],3,FALSE)</f>
        <v xml:space="preserve">Perno ASTM A325 galvanizado 3/8", L=8" </v>
      </c>
      <c r="C25" s="40" t="str">
        <f>VLOOKUP(A25,Materiales3[],4,FALSE)</f>
        <v>und</v>
      </c>
      <c r="D25" s="40">
        <v>2</v>
      </c>
      <c r="E25" s="40">
        <f>VLOOKUP(A25,Materiales3[],5,FALSE)*D25</f>
        <v>1</v>
      </c>
      <c r="F25" s="42">
        <f>VLOOKUP(A25,Materiales3[],6,FALSE)</f>
        <v>0</v>
      </c>
      <c r="G25" s="42">
        <f t="shared" si="2"/>
        <v>0</v>
      </c>
    </row>
    <row r="26" spans="1:7" ht="14.5">
      <c r="A26" s="89">
        <v>377</v>
      </c>
      <c r="B26" s="69" t="str">
        <f>VLOOKUP(A26,Materiales3[],3,FALSE)</f>
        <v xml:space="preserve">Tornillo metálico galvanizado 13x38mm </v>
      </c>
      <c r="C26" s="40" t="str">
        <f>VLOOKUP(A26,Materiales3[],4,FALSE)</f>
        <v>und</v>
      </c>
      <c r="D26" s="40">
        <v>4</v>
      </c>
      <c r="E26" s="40">
        <f>VLOOKUP(A26,Materiales3[],5,FALSE)*D26</f>
        <v>0.4</v>
      </c>
      <c r="F26" s="42">
        <f>VLOOKUP(A26,Materiales3[],6,FALSE)</f>
        <v>0</v>
      </c>
      <c r="G26" s="42">
        <f t="shared" si="2"/>
        <v>0</v>
      </c>
    </row>
    <row r="27" spans="1:7" ht="30.65" customHeight="1">
      <c r="A27" s="89">
        <v>101</v>
      </c>
      <c r="B27" s="69" t="str">
        <f>VLOOKUP(A27,Materiales3[],3,FALSE)</f>
        <v xml:space="preserve">Poste en poliéster reforzado con fibra de vidrio (PRFV) ASCE 104/ASTM D4923, h=4m, 510kgf. </v>
      </c>
      <c r="C27" s="40" t="str">
        <f>VLOOKUP(A27,Materiales3[],4,FALSE)</f>
        <v>UN</v>
      </c>
      <c r="D27" s="40">
        <v>1</v>
      </c>
      <c r="E27" s="40">
        <f>VLOOKUP(A27,Materiales3[],5,FALSE)*D27</f>
        <v>21</v>
      </c>
      <c r="F27" s="42">
        <f>VLOOKUP(A27,Materiales3[],6,FALSE)</f>
        <v>0</v>
      </c>
      <c r="G27" s="42">
        <f t="shared" si="2"/>
        <v>0</v>
      </c>
    </row>
    <row r="28" spans="1:7" ht="13">
      <c r="D28" s="47"/>
      <c r="E28" s="47"/>
      <c r="F28" s="48" t="s">
        <v>654</v>
      </c>
      <c r="G28" s="49" t="e">
        <f>SUM(G8:G27)</f>
        <v>#REF!</v>
      </c>
    </row>
    <row r="29" spans="1:7">
      <c r="G29" s="73"/>
    </row>
    <row r="30" spans="1:7" ht="13">
      <c r="B30" s="50" t="s">
        <v>655</v>
      </c>
      <c r="G30" s="74"/>
    </row>
    <row r="31" spans="1:7" ht="13">
      <c r="A31" s="88" t="s">
        <v>138</v>
      </c>
      <c r="B31" s="37" t="s">
        <v>19</v>
      </c>
      <c r="C31" s="38" t="s">
        <v>665</v>
      </c>
      <c r="D31" s="38" t="s">
        <v>656</v>
      </c>
      <c r="E31" s="38"/>
      <c r="F31" s="38" t="s">
        <v>21</v>
      </c>
      <c r="G31" s="38" t="s">
        <v>286</v>
      </c>
    </row>
    <row r="32" spans="1:7" ht="14.5">
      <c r="A32" s="89">
        <v>1</v>
      </c>
      <c r="B32" s="43" t="str">
        <f>VLOOKUP(A32,Equipoyherramienta[],2,FALSE)</f>
        <v>Herramienta menor</v>
      </c>
      <c r="C32" s="44" t="str">
        <f>VLOOKUP(A32,Equipoyherramienta[],3,FALSE)</f>
        <v>UN</v>
      </c>
      <c r="D32" s="51">
        <f>VLOOKUP(A32,Equipoyherramienta[],4,FALSE)</f>
        <v>0</v>
      </c>
      <c r="E32" s="51"/>
      <c r="F32" s="71">
        <f>+RENDIMIENTOS!C45</f>
        <v>2</v>
      </c>
      <c r="G32" s="51">
        <f>ROUND(D32/F32,0)</f>
        <v>0</v>
      </c>
    </row>
    <row r="33" spans="1:17">
      <c r="B33" s="43"/>
      <c r="C33" s="44"/>
      <c r="D33" s="46"/>
      <c r="E33" s="46"/>
      <c r="F33" s="52"/>
      <c r="G33" s="53"/>
    </row>
    <row r="34" spans="1:17">
      <c r="B34" s="43"/>
      <c r="C34" s="44"/>
      <c r="D34" s="46"/>
      <c r="E34" s="46"/>
      <c r="F34" s="52"/>
      <c r="G34" s="53"/>
    </row>
    <row r="35" spans="1:17" ht="13">
      <c r="D35" s="47"/>
      <c r="E35" s="47"/>
      <c r="F35" s="48" t="s">
        <v>654</v>
      </c>
      <c r="G35" s="49">
        <f>SUM(G32:G34)</f>
        <v>0</v>
      </c>
    </row>
    <row r="36" spans="1:17" ht="13">
      <c r="D36" s="47"/>
      <c r="E36" s="47"/>
      <c r="F36" s="47"/>
      <c r="G36" s="54"/>
    </row>
    <row r="37" spans="1:17" ht="13">
      <c r="B37" s="36" t="s">
        <v>657</v>
      </c>
      <c r="G37" s="55"/>
    </row>
    <row r="38" spans="1:17" ht="13">
      <c r="A38" s="88" t="s">
        <v>138</v>
      </c>
      <c r="B38" s="37" t="s">
        <v>19</v>
      </c>
      <c r="C38" s="38" t="s">
        <v>284</v>
      </c>
      <c r="D38" s="38" t="s">
        <v>410</v>
      </c>
      <c r="E38" s="38"/>
      <c r="F38" s="38" t="s">
        <v>666</v>
      </c>
      <c r="G38" s="56" t="s">
        <v>286</v>
      </c>
    </row>
    <row r="39" spans="1:17" ht="50">
      <c r="A39" s="89">
        <v>6</v>
      </c>
      <c r="B39" s="57" t="str">
        <f>VLOOKUP(A39,Transp.[],2,FALSE)</f>
        <v>Carga terrestre desde Barranquilla hasta Usuario, incluye cargues, descargues, cruces de río, transporte semoviente, transporte en vehículo de carga pesada y cualquier otro tranposte.</v>
      </c>
      <c r="C39" s="40" t="s">
        <v>667</v>
      </c>
      <c r="D39" s="41" t="e">
        <f>SUM(E15:E27)+E12</f>
        <v>#REF!</v>
      </c>
      <c r="E39" s="41"/>
      <c r="F39" s="59">
        <f>VLOOKUP(A39,Transp.[],6,FALSE)</f>
        <v>0</v>
      </c>
      <c r="G39" s="59" t="e">
        <f>D39*F39</f>
        <v>#REF!</v>
      </c>
    </row>
    <row r="40" spans="1:17" ht="14.5">
      <c r="A40" s="89">
        <v>7</v>
      </c>
      <c r="B40" s="57" t="str">
        <f>VLOOKUP(A40,Transp.[],2,FALSE)</f>
        <v xml:space="preserve">Carga Material Cantera hasta Veredas </v>
      </c>
      <c r="C40" s="40" t="s">
        <v>667</v>
      </c>
      <c r="D40" s="41" t="e">
        <f>+(E9+E10)*1.05</f>
        <v>#REF!</v>
      </c>
      <c r="E40" s="41"/>
      <c r="F40" s="59">
        <f>VLOOKUP(A40,Transp.[],6,FALSE)</f>
        <v>0</v>
      </c>
      <c r="G40" s="59" t="e">
        <f>D40*F40</f>
        <v>#REF!</v>
      </c>
    </row>
    <row r="41" spans="1:17" ht="13.15" customHeight="1">
      <c r="A41" s="89"/>
      <c r="B41" s="57"/>
      <c r="C41" s="40"/>
      <c r="D41" s="41"/>
      <c r="E41" s="41"/>
      <c r="F41" s="59"/>
      <c r="G41" s="59"/>
    </row>
    <row r="42" spans="1:17" ht="13">
      <c r="D42" s="47"/>
      <c r="E42" s="47"/>
      <c r="F42" s="61" t="s">
        <v>654</v>
      </c>
      <c r="G42" s="49" t="e">
        <f>SUM(G39:G41)</f>
        <v>#REF!</v>
      </c>
      <c r="L42" s="36"/>
      <c r="N42" s="62"/>
      <c r="O42" s="62"/>
      <c r="P42" s="63"/>
      <c r="Q42" s="55"/>
    </row>
    <row r="43" spans="1:17" ht="13">
      <c r="K43" s="88"/>
      <c r="L43" s="38"/>
      <c r="M43" s="38"/>
      <c r="N43" s="38"/>
      <c r="O43" s="38"/>
      <c r="P43" s="38"/>
      <c r="Q43" s="56"/>
    </row>
    <row r="44" spans="1:17" ht="13">
      <c r="B44" s="36" t="s">
        <v>661</v>
      </c>
      <c r="D44" s="62"/>
      <c r="E44" s="62"/>
      <c r="F44" s="63"/>
      <c r="G44" s="55"/>
    </row>
    <row r="45" spans="1:17" s="47" customFormat="1" ht="14.5">
      <c r="A45" s="88" t="s">
        <v>138</v>
      </c>
      <c r="B45" s="38" t="s">
        <v>19</v>
      </c>
      <c r="C45" s="38" t="s">
        <v>662</v>
      </c>
      <c r="D45" s="38" t="s">
        <v>663</v>
      </c>
      <c r="E45" s="38"/>
      <c r="F45" s="38" t="s">
        <v>21</v>
      </c>
      <c r="G45" s="56" t="s">
        <v>286</v>
      </c>
      <c r="K45" s="89"/>
      <c r="L45" s="64"/>
      <c r="M45" s="65"/>
      <c r="N45" s="52"/>
      <c r="O45" s="52"/>
      <c r="P45" s="71"/>
      <c r="Q45" s="51"/>
    </row>
    <row r="46" spans="1:17" ht="14.5">
      <c r="A46" s="89">
        <v>4</v>
      </c>
      <c r="B46" s="64" t="str">
        <f>VLOOKUP(A46,ManoObra[],2,FALSE)</f>
        <v>Oficial de obra</v>
      </c>
      <c r="C46" s="65">
        <f>VLOOKUP(A46,ManoObra[],8,FALSE)</f>
        <v>0</v>
      </c>
      <c r="D46" s="52">
        <f>+FP!E27</f>
        <v>0</v>
      </c>
      <c r="E46" s="52"/>
      <c r="F46" s="71">
        <f>+Q61</f>
        <v>0</v>
      </c>
      <c r="G46" s="51" t="e">
        <f>ROUND(C46*D46/F46,0)</f>
        <v>#DIV/0!</v>
      </c>
      <c r="K46" s="89"/>
      <c r="L46" s="64"/>
      <c r="M46" s="65"/>
      <c r="N46" s="52"/>
      <c r="O46" s="52"/>
      <c r="P46" s="71"/>
      <c r="Q46" s="51"/>
    </row>
    <row r="47" spans="1:17" ht="14.5">
      <c r="A47" s="89">
        <v>2</v>
      </c>
      <c r="B47" s="64" t="str">
        <f>VLOOKUP(A47,ManoObra[],2,FALSE)</f>
        <v>Ayudante</v>
      </c>
      <c r="C47" s="65">
        <f>VLOOKUP(A47,ManoObra[],8,FALSE)</f>
        <v>0</v>
      </c>
      <c r="D47" s="52">
        <f>+FP!E27</f>
        <v>0</v>
      </c>
      <c r="E47" s="52"/>
      <c r="F47" s="71">
        <f>+Q62</f>
        <v>0</v>
      </c>
      <c r="G47" s="51" t="e">
        <f>ROUND(C47*D47/F47,0)</f>
        <v>#DIV/0!</v>
      </c>
    </row>
    <row r="48" spans="1:17" ht="14.5">
      <c r="A48" s="89">
        <v>20</v>
      </c>
      <c r="B48" s="64" t="str">
        <f>VLOOKUP(A48,ManoObra[],2,FALSE)</f>
        <v>Soldador</v>
      </c>
      <c r="C48" s="65">
        <f>VLOOKUP(A48,ManoObra[],8,FALSE)</f>
        <v>0</v>
      </c>
      <c r="D48" s="52">
        <f>+FP!E27</f>
        <v>0</v>
      </c>
      <c r="E48" s="52"/>
      <c r="F48" s="71">
        <f>+Q63</f>
        <v>0</v>
      </c>
      <c r="G48" s="51" t="e">
        <f>ROUND(C48*D48/F48,0)</f>
        <v>#DIV/0!</v>
      </c>
      <c r="K48" s="89"/>
      <c r="L48" s="64"/>
      <c r="M48" s="65"/>
      <c r="N48" s="52"/>
      <c r="O48" s="52"/>
      <c r="P48" s="71"/>
      <c r="Q48" s="51"/>
    </row>
    <row r="49" spans="2:17" ht="13">
      <c r="D49" s="47"/>
      <c r="E49" s="47"/>
      <c r="F49" s="61" t="s">
        <v>654</v>
      </c>
      <c r="G49" s="75" t="e">
        <f>SUM(G46:G48)</f>
        <v>#DIV/0!</v>
      </c>
    </row>
    <row r="50" spans="2:17" ht="14.5">
      <c r="D50" s="47"/>
      <c r="E50" s="47"/>
      <c r="G50" s="55"/>
      <c r="K50" s="89"/>
      <c r="L50" s="64"/>
      <c r="M50" s="65"/>
      <c r="N50" s="52"/>
      <c r="O50" s="52"/>
      <c r="P50" s="71"/>
      <c r="Q50" s="51"/>
    </row>
    <row r="51" spans="2:17" ht="12.75" customHeight="1">
      <c r="B51" s="47"/>
      <c r="D51" s="652" t="s">
        <v>664</v>
      </c>
      <c r="E51" s="654"/>
      <c r="F51" s="653"/>
      <c r="G51" s="66" t="e">
        <f>G28+G35+G42+G49</f>
        <v>#REF!</v>
      </c>
      <c r="K51" s="89"/>
      <c r="L51" s="64"/>
      <c r="M51" s="65"/>
      <c r="N51" s="52"/>
      <c r="O51" s="52"/>
      <c r="P51" s="71"/>
      <c r="Q51" s="51"/>
    </row>
    <row r="53" spans="2:17" ht="14.5">
      <c r="K53" s="89"/>
      <c r="L53" s="64"/>
      <c r="M53" s="65"/>
      <c r="N53" s="52"/>
      <c r="O53" s="52"/>
      <c r="P53" s="71"/>
      <c r="Q53" s="51"/>
    </row>
    <row r="54" spans="2:17" ht="14.5">
      <c r="K54" s="89"/>
      <c r="L54" s="64"/>
      <c r="M54" s="65"/>
      <c r="N54" s="52"/>
      <c r="O54" s="52"/>
      <c r="P54" s="71"/>
      <c r="Q54" s="51"/>
    </row>
    <row r="56" spans="2:17" ht="14.5">
      <c r="K56" s="89"/>
      <c r="L56" s="64"/>
      <c r="M56" s="65"/>
      <c r="N56" s="52"/>
      <c r="O56" s="52"/>
      <c r="P56" s="71"/>
      <c r="Q56" s="51"/>
    </row>
    <row r="57" spans="2:17" ht="14.5">
      <c r="K57" s="89"/>
      <c r="L57" s="64"/>
      <c r="M57" s="65"/>
      <c r="N57" s="52"/>
      <c r="O57" s="52"/>
      <c r="P57" s="71"/>
      <c r="Q57" s="51"/>
    </row>
    <row r="58" spans="2:17" ht="13">
      <c r="N58" s="47"/>
      <c r="O58" s="47"/>
      <c r="P58" s="61"/>
      <c r="Q58" s="75"/>
    </row>
    <row r="61" spans="2:17" ht="14.5">
      <c r="K61" s="89"/>
      <c r="L61" s="64"/>
      <c r="M61" s="65"/>
      <c r="N61" s="52"/>
      <c r="O61" s="51"/>
    </row>
    <row r="62" spans="2:17" ht="14.5">
      <c r="K62" s="89"/>
      <c r="L62" s="64"/>
      <c r="M62" s="65"/>
      <c r="N62" s="52"/>
      <c r="O62" s="51"/>
    </row>
    <row r="63" spans="2:17" ht="14.5">
      <c r="K63" s="89"/>
      <c r="L63" s="64"/>
      <c r="M63" s="65"/>
      <c r="N63" s="52"/>
      <c r="O63" s="51"/>
    </row>
  </sheetData>
  <mergeCells count="3">
    <mergeCell ref="B1:G1"/>
    <mergeCell ref="B4:E4"/>
    <mergeCell ref="D51:F51"/>
  </mergeCells>
  <printOptions horizontalCentered="1"/>
  <pageMargins left="0.70866141732283472" right="0.70866141732283472" top="1.5748031496062993" bottom="0.98425196850393704" header="0.98425196850393704" footer="0.51181102362204722"/>
  <pageSetup scale="68" orientation="portrait" r:id="rId1"/>
  <headerFooter alignWithMargins="0">
    <oddHeader xml:space="preserve">&amp;C&amp;"Arial,Negrita"&amp;12ANÁLISIS DE PRECIOS UNITARIOS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4D37-AE4B-4DA2-AC26-2CEBC8D3B266}">
  <sheetPr codeName="Hoja27">
    <tabColor theme="4" tint="0.59999389629810485"/>
    <pageSetUpPr fitToPage="1"/>
  </sheetPr>
  <dimension ref="A1:G33"/>
  <sheetViews>
    <sheetView showGridLines="0" view="pageBreakPreview" zoomScale="80" zoomScaleNormal="120" zoomScaleSheetLayoutView="80" workbookViewId="0">
      <selection activeCell="A4" sqref="A4:A35"/>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2010wp'!A15</f>
        <v>2.2.2</v>
      </c>
      <c r="D3" s="31"/>
      <c r="E3" s="31"/>
      <c r="F3" s="31"/>
      <c r="G3" s="32" t="s">
        <v>652</v>
      </c>
    </row>
    <row r="4" spans="1:7" ht="58.9" customHeight="1">
      <c r="B4" s="649" t="str">
        <f>+'PRES. SISFV 2010wp'!B15</f>
        <v>Excavación de zanja para acometida principal en zona verde, de 20 cm de ancho x 60 cm de profundidad y hasta 6 m de longitud. Se utilizará para relleno, el mismo material excavado.</v>
      </c>
      <c r="C4" s="655"/>
      <c r="D4" s="655"/>
      <c r="E4" s="656"/>
      <c r="G4" s="33" t="str">
        <f>+'PRES. SISFV 2010wp'!C15</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c r="B8" s="69"/>
      <c r="C8" s="40"/>
      <c r="D8" s="40"/>
      <c r="E8" s="40"/>
      <c r="F8" s="42"/>
      <c r="G8" s="42"/>
    </row>
    <row r="9" spans="1:7" ht="14.5">
      <c r="A9" s="89"/>
      <c r="B9" s="69"/>
      <c r="C9" s="40"/>
      <c r="D9" s="40"/>
      <c r="E9" s="40"/>
      <c r="F9" s="42"/>
      <c r="G9" s="42"/>
    </row>
    <row r="10" spans="1:7" ht="14.5">
      <c r="A10" s="4"/>
      <c r="B10" s="69"/>
      <c r="C10" s="40"/>
      <c r="D10" s="40"/>
      <c r="E10" s="40"/>
      <c r="F10" s="42"/>
      <c r="G10" s="42"/>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v>5</v>
      </c>
      <c r="G15" s="51">
        <f>ROUND(D15/F15,0)</f>
        <v>0</v>
      </c>
    </row>
    <row r="16" spans="1:7" ht="14.5">
      <c r="A16" s="89">
        <v>5</v>
      </c>
      <c r="B16" s="43" t="str">
        <f>VLOOKUP(A16,Equipoyherramienta[],2,FALSE)</f>
        <v>Herramienta para hoyar</v>
      </c>
      <c r="C16" s="44" t="str">
        <f>VLOOKUP(A16,Equipoyherramienta[],3,FALSE)</f>
        <v>HORA</v>
      </c>
      <c r="D16" s="51">
        <f>VLOOKUP(A16,Equipoyherramienta[],4,FALSE)</f>
        <v>0</v>
      </c>
      <c r="E16" s="46"/>
      <c r="F16" s="71">
        <v>5</v>
      </c>
      <c r="G16" s="51">
        <f>ROUND(D16/F16,0)</f>
        <v>0</v>
      </c>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26.5" customHeight="1">
      <c r="A22" s="89">
        <v>3</v>
      </c>
      <c r="B22" s="57" t="str">
        <f>VLOOKUP(A22,Transp.[],2,FALSE)</f>
        <v>Pasaje terrestre</v>
      </c>
      <c r="C22" s="40" t="s">
        <v>667</v>
      </c>
      <c r="D22" s="41">
        <f>SUM(E8:E10)</f>
        <v>0</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c r="B29" s="64"/>
      <c r="C29" s="65"/>
      <c r="D29" s="52"/>
      <c r="E29" s="52"/>
      <c r="F29" s="71"/>
      <c r="G29" s="51"/>
    </row>
    <row r="30" spans="1:7" ht="14.5">
      <c r="A30" s="89">
        <v>2</v>
      </c>
      <c r="B30" s="64" t="str">
        <f>VLOOKUP(A30,ManoObra[],2,FALSE)</f>
        <v>Ayudante</v>
      </c>
      <c r="C30" s="65">
        <f>VLOOKUP(A30,ManoObra[],8,FALSE)</f>
        <v>0</v>
      </c>
      <c r="D30" s="52">
        <f>+FP!E27</f>
        <v>0</v>
      </c>
      <c r="E30" s="52"/>
      <c r="F30" s="71">
        <v>5</v>
      </c>
      <c r="G30" s="51">
        <f>ROUND(C30*D30/F30,0)</f>
        <v>0</v>
      </c>
    </row>
    <row r="31" spans="1:7" ht="13">
      <c r="D31" s="47"/>
      <c r="E31" s="47"/>
      <c r="F31" s="61" t="s">
        <v>654</v>
      </c>
      <c r="G31" s="75">
        <f>SUM(G29:G30)</f>
        <v>0</v>
      </c>
    </row>
    <row r="32" spans="1:7" ht="13">
      <c r="D32" s="47"/>
      <c r="E32" s="47"/>
      <c r="G32" s="55"/>
    </row>
    <row r="33" spans="2:7" ht="12.75" customHeight="1">
      <c r="B33" s="47"/>
      <c r="D33" s="652" t="s">
        <v>664</v>
      </c>
      <c r="E33" s="654"/>
      <c r="F33" s="653"/>
      <c r="G33" s="66">
        <f>G11+G18+G25+G31</f>
        <v>0</v>
      </c>
    </row>
  </sheetData>
  <mergeCells count="3">
    <mergeCell ref="B1:G1"/>
    <mergeCell ref="B4:E4"/>
    <mergeCell ref="D33:F33"/>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3953-D054-4949-A65B-F1B0E19DD38F}">
  <sheetPr codeName="Hoja16">
    <tabColor theme="8" tint="0.59999389629810485"/>
    <pageSetUpPr fitToPage="1"/>
  </sheetPr>
  <dimension ref="A1:R55"/>
  <sheetViews>
    <sheetView tabSelected="1" view="pageBreakPreview" topLeftCell="E16" zoomScale="70" zoomScaleNormal="70" zoomScaleSheetLayoutView="70" workbookViewId="0">
      <selection activeCell="J39" sqref="J39"/>
    </sheetView>
  </sheetViews>
  <sheetFormatPr baseColWidth="10" defaultColWidth="11.453125" defaultRowHeight="12.5"/>
  <cols>
    <col min="1" max="1" width="6.26953125" customWidth="1"/>
    <col min="2" max="2" width="61.81640625" customWidth="1"/>
    <col min="3" max="3" width="8.453125" customWidth="1"/>
    <col min="4" max="4" width="11" customWidth="1"/>
    <col min="5" max="10" width="19.26953125" customWidth="1"/>
    <col min="11" max="11" width="20.7265625" customWidth="1"/>
    <col min="12" max="15" width="19.26953125" customWidth="1"/>
    <col min="16" max="16" width="27.54296875" customWidth="1"/>
    <col min="17" max="17" width="22" customWidth="1"/>
    <col min="18" max="18" width="17.26953125" customWidth="1"/>
    <col min="19" max="19" width="15" bestFit="1" customWidth="1"/>
  </cols>
  <sheetData>
    <row r="1" spans="1:18" s="24" customFormat="1" ht="30" customHeight="1">
      <c r="A1" s="535" t="s">
        <v>563</v>
      </c>
      <c r="B1" s="536"/>
      <c r="C1" s="536"/>
      <c r="D1" s="536"/>
      <c r="E1" s="536"/>
      <c r="F1" s="536"/>
      <c r="G1" s="536"/>
      <c r="H1" s="536"/>
      <c r="I1" s="536"/>
      <c r="J1" s="536"/>
      <c r="K1" s="536"/>
      <c r="L1" s="536"/>
      <c r="M1" s="536"/>
      <c r="N1" s="536"/>
      <c r="O1" s="536"/>
      <c r="P1" s="537"/>
    </row>
    <row r="2" spans="1:18" s="26" customFormat="1" ht="15" customHeight="1">
      <c r="A2" s="538" t="s">
        <v>486</v>
      </c>
      <c r="B2" s="538" t="s">
        <v>487</v>
      </c>
      <c r="C2" s="538" t="s">
        <v>87</v>
      </c>
      <c r="D2" s="538" t="s">
        <v>488</v>
      </c>
      <c r="E2" s="539" t="s">
        <v>489</v>
      </c>
      <c r="F2" s="540"/>
      <c r="G2" s="540"/>
      <c r="H2" s="540"/>
      <c r="I2" s="540"/>
      <c r="J2" s="541"/>
      <c r="K2" s="542" t="s">
        <v>490</v>
      </c>
      <c r="L2" s="543"/>
      <c r="M2" s="543"/>
      <c r="N2" s="543"/>
      <c r="O2" s="543"/>
      <c r="P2" s="544"/>
    </row>
    <row r="3" spans="1:18" s="26" customFormat="1" ht="40.15" customHeight="1">
      <c r="A3" s="538"/>
      <c r="B3" s="538"/>
      <c r="C3" s="538"/>
      <c r="D3" s="538"/>
      <c r="E3" s="381" t="s">
        <v>282</v>
      </c>
      <c r="F3" s="381" t="s">
        <v>491</v>
      </c>
      <c r="G3" s="381" t="s">
        <v>492</v>
      </c>
      <c r="H3" s="381" t="s">
        <v>493</v>
      </c>
      <c r="I3" s="381" t="s">
        <v>494</v>
      </c>
      <c r="J3" s="27" t="s">
        <v>495</v>
      </c>
      <c r="K3" s="381" t="s">
        <v>282</v>
      </c>
      <c r="L3" s="381" t="s">
        <v>491</v>
      </c>
      <c r="M3" s="381" t="s">
        <v>492</v>
      </c>
      <c r="N3" s="381" t="s">
        <v>493</v>
      </c>
      <c r="O3" s="381" t="s">
        <v>494</v>
      </c>
      <c r="P3" s="27" t="s">
        <v>496</v>
      </c>
    </row>
    <row r="4" spans="1:18" s="18" customFormat="1" ht="13">
      <c r="A4" s="382">
        <v>1</v>
      </c>
      <c r="B4" s="383" t="s">
        <v>497</v>
      </c>
      <c r="C4" s="384"/>
      <c r="D4" s="384"/>
      <c r="E4" s="384"/>
      <c r="F4" s="384"/>
      <c r="G4" s="384"/>
      <c r="H4" s="384"/>
      <c r="I4" s="384"/>
      <c r="J4" s="384"/>
      <c r="K4" s="384"/>
      <c r="L4" s="384"/>
      <c r="M4" s="384"/>
      <c r="N4" s="384"/>
      <c r="O4" s="384"/>
      <c r="P4" s="403"/>
    </row>
    <row r="5" spans="1:18" s="18" customFormat="1">
      <c r="A5" s="244" t="s">
        <v>498</v>
      </c>
      <c r="B5" s="245" t="s">
        <v>499</v>
      </c>
      <c r="C5" s="244" t="s">
        <v>92</v>
      </c>
      <c r="D5" s="246">
        <f>+Usuarios!$C$7</f>
        <v>660</v>
      </c>
      <c r="E5" s="247"/>
      <c r="F5" s="247"/>
      <c r="G5" s="247"/>
      <c r="H5" s="247"/>
      <c r="I5" s="247"/>
      <c r="J5" s="247"/>
      <c r="K5" s="247"/>
      <c r="L5" s="247"/>
      <c r="M5" s="247"/>
      <c r="N5" s="247"/>
      <c r="O5" s="247"/>
      <c r="P5" s="247"/>
    </row>
    <row r="6" spans="1:18" s="18" customFormat="1" ht="13">
      <c r="A6" s="382">
        <v>2</v>
      </c>
      <c r="B6" s="387" t="s">
        <v>500</v>
      </c>
      <c r="C6" s="384"/>
      <c r="D6" s="384"/>
      <c r="E6" s="384"/>
      <c r="F6" s="384"/>
      <c r="G6" s="384"/>
      <c r="H6" s="384"/>
      <c r="I6" s="384"/>
      <c r="J6" s="384"/>
      <c r="K6" s="384"/>
      <c r="L6" s="384"/>
      <c r="M6" s="384"/>
      <c r="N6" s="384"/>
      <c r="O6" s="384"/>
      <c r="P6" s="403"/>
    </row>
    <row r="7" spans="1:18" s="18" customFormat="1" ht="25">
      <c r="A7" s="244" t="s">
        <v>501</v>
      </c>
      <c r="B7" s="245" t="s">
        <v>502</v>
      </c>
      <c r="C7" s="244" t="s">
        <v>92</v>
      </c>
      <c r="D7" s="246">
        <f>+Usuarios!$J$7</f>
        <v>649</v>
      </c>
      <c r="E7" s="247">
        <f>+SUM('PRES. SISFV 2010wp'!K6:K12)</f>
        <v>0</v>
      </c>
      <c r="F7" s="247">
        <f>+SUM('PRES. SISFV 2010wp'!L6:L12)</f>
        <v>0</v>
      </c>
      <c r="G7" s="247">
        <f>+SUM('PRES. SISFV 2010wp'!M6:M12)</f>
        <v>0</v>
      </c>
      <c r="H7" s="247">
        <f>+SUM('PRES. SISFV 2010wp'!N6:N12)</f>
        <v>0</v>
      </c>
      <c r="I7" s="247">
        <f>+SUM('PRES. SISFV 2010wp'!O6:O12)</f>
        <v>0</v>
      </c>
      <c r="J7" s="247">
        <f t="shared" ref="J7:J9" si="0">SUM(E7:I7)</f>
        <v>0</v>
      </c>
      <c r="K7" s="247">
        <f t="shared" ref="K7" si="1">+$D7*E7</f>
        <v>0</v>
      </c>
      <c r="L7" s="247">
        <f>+$D7*F7</f>
        <v>0</v>
      </c>
      <c r="M7" s="247">
        <f>+$D7*G7</f>
        <v>0</v>
      </c>
      <c r="N7" s="247">
        <f t="shared" ref="N7" si="2">+$D7*H7</f>
        <v>0</v>
      </c>
      <c r="O7" s="247">
        <f t="shared" ref="O7" si="3">+$D7*I7</f>
        <v>0</v>
      </c>
      <c r="P7" s="247">
        <f t="shared" ref="P7:P10" si="4">J7*D7</f>
        <v>0</v>
      </c>
    </row>
    <row r="8" spans="1:18" s="18" customFormat="1">
      <c r="A8" s="244" t="s">
        <v>503</v>
      </c>
      <c r="B8" s="245" t="s">
        <v>504</v>
      </c>
      <c r="C8" s="244" t="s">
        <v>92</v>
      </c>
      <c r="D8" s="246">
        <f>+Usuarios!$J$7</f>
        <v>649</v>
      </c>
      <c r="E8" s="247"/>
      <c r="F8" s="247"/>
      <c r="G8" s="247"/>
      <c r="H8" s="247"/>
      <c r="I8" s="247"/>
      <c r="J8" s="247"/>
      <c r="K8" s="247"/>
      <c r="L8" s="247"/>
      <c r="M8" s="247"/>
      <c r="N8" s="247"/>
      <c r="O8" s="247"/>
      <c r="P8" s="247"/>
    </row>
    <row r="9" spans="1:18" s="18" customFormat="1">
      <c r="A9" s="244" t="s">
        <v>505</v>
      </c>
      <c r="B9" s="245" t="s">
        <v>506</v>
      </c>
      <c r="C9" s="244" t="s">
        <v>92</v>
      </c>
      <c r="D9" s="246">
        <f>+Usuarios!$J$7</f>
        <v>649</v>
      </c>
      <c r="E9" s="247">
        <f>+'PRES. SISFV 2010wp'!K17</f>
        <v>0</v>
      </c>
      <c r="F9" s="247">
        <f>+'PRES. SISFV 2010wp'!L17</f>
        <v>0</v>
      </c>
      <c r="G9" s="247">
        <f>+'PRES. SISFV 2010wp'!M17</f>
        <v>0</v>
      </c>
      <c r="H9" s="247">
        <f>+'PRES. SISFV 2010wp'!N17</f>
        <v>0</v>
      </c>
      <c r="I9" s="247">
        <f>+'PRES. SISFV 2010wp'!O17</f>
        <v>0</v>
      </c>
      <c r="J9" s="247">
        <f t="shared" si="0"/>
        <v>0</v>
      </c>
      <c r="K9" s="247">
        <f t="shared" ref="K9" si="5">+$D9*E9</f>
        <v>0</v>
      </c>
      <c r="L9" s="247">
        <f t="shared" ref="L9" si="6">+$D9*F9</f>
        <v>0</v>
      </c>
      <c r="M9" s="247">
        <f t="shared" ref="M9" si="7">+$D9*G9</f>
        <v>0</v>
      </c>
      <c r="N9" s="247">
        <f t="shared" ref="N9" si="8">+$D9*H9</f>
        <v>0</v>
      </c>
      <c r="O9" s="247">
        <f t="shared" ref="O9" si="9">+$D9*I9</f>
        <v>0</v>
      </c>
      <c r="P9" s="247">
        <f t="shared" si="4"/>
        <v>0</v>
      </c>
    </row>
    <row r="10" spans="1:18" s="18" customFormat="1">
      <c r="A10" s="244" t="s">
        <v>507</v>
      </c>
      <c r="B10" s="245" t="s">
        <v>508</v>
      </c>
      <c r="C10" s="244" t="s">
        <v>92</v>
      </c>
      <c r="D10" s="246">
        <f>+Usuarios!$J$7</f>
        <v>649</v>
      </c>
      <c r="E10" s="247">
        <f>+'PRES. SISFV 2010wp'!K19</f>
        <v>0</v>
      </c>
      <c r="F10" s="247">
        <f>+'PRES. SISFV 2010wp'!L19</f>
        <v>0</v>
      </c>
      <c r="G10" s="247">
        <f>+'PRES. SISFV 2010wp'!M19</f>
        <v>0</v>
      </c>
      <c r="H10" s="247">
        <f>+'PRES. SISFV 2010wp'!N19</f>
        <v>0</v>
      </c>
      <c r="I10" s="247">
        <f>+'PRES. SISFV 2010wp'!O19</f>
        <v>0</v>
      </c>
      <c r="J10" s="247">
        <f t="shared" ref="J10" si="10">SUM(E10:I10)</f>
        <v>0</v>
      </c>
      <c r="K10" s="247">
        <f>+$D10*E10</f>
        <v>0</v>
      </c>
      <c r="L10" s="247">
        <f>+$D10*F10</f>
        <v>0</v>
      </c>
      <c r="M10" s="247">
        <f>+$D10*G10</f>
        <v>0</v>
      </c>
      <c r="N10" s="247">
        <f>+$D10*H10</f>
        <v>0</v>
      </c>
      <c r="O10" s="247">
        <f>+$D10*I10</f>
        <v>0</v>
      </c>
      <c r="P10" s="247">
        <f t="shared" si="4"/>
        <v>0</v>
      </c>
    </row>
    <row r="11" spans="1:18" s="18" customFormat="1" ht="13">
      <c r="A11" s="382">
        <v>3</v>
      </c>
      <c r="B11" s="383" t="s">
        <v>509</v>
      </c>
      <c r="C11" s="384"/>
      <c r="D11" s="384"/>
      <c r="E11" s="384"/>
      <c r="F11" s="384"/>
      <c r="G11" s="384"/>
      <c r="H11" s="384"/>
      <c r="I11" s="384"/>
      <c r="J11" s="384"/>
      <c r="K11" s="384"/>
      <c r="L11" s="384"/>
      <c r="M11" s="384"/>
      <c r="N11" s="384"/>
      <c r="O11" s="384"/>
      <c r="P11" s="403"/>
      <c r="R11" s="28"/>
    </row>
    <row r="12" spans="1:18" s="18" customFormat="1">
      <c r="A12" s="244" t="s">
        <v>510</v>
      </c>
      <c r="B12" s="245" t="s">
        <v>564</v>
      </c>
      <c r="C12" s="244" t="s">
        <v>92</v>
      </c>
      <c r="D12" s="246">
        <f>+Usuarios!$H$7</f>
        <v>2</v>
      </c>
      <c r="E12" s="247">
        <f>+SUM('PRES MR 5 KW'!K6:K19)</f>
        <v>0</v>
      </c>
      <c r="F12" s="247">
        <f>+SUM('PRES MR 5 KW'!L6:L19)</f>
        <v>0</v>
      </c>
      <c r="G12" s="247">
        <f>+SUM('PRES MR 5 KW'!M6:M19)</f>
        <v>0</v>
      </c>
      <c r="H12" s="247">
        <f>+SUM('PRES MR 5 KW'!N6:N19)</f>
        <v>0</v>
      </c>
      <c r="I12" s="247">
        <f>+SUM('PRES MR 5 KW'!O6:O19)</f>
        <v>0</v>
      </c>
      <c r="J12" s="247">
        <f t="shared" ref="J12" si="11">SUM(E12:I12)</f>
        <v>0</v>
      </c>
      <c r="K12" s="247">
        <f t="shared" ref="K12" si="12">+$D12*E12</f>
        <v>0</v>
      </c>
      <c r="L12" s="247">
        <f t="shared" ref="L12" si="13">+$D12*F12</f>
        <v>0</v>
      </c>
      <c r="M12" s="247">
        <f t="shared" ref="M12" si="14">+$D12*G12</f>
        <v>0</v>
      </c>
      <c r="N12" s="247">
        <f t="shared" ref="N12" si="15">+$D12*H12</f>
        <v>0</v>
      </c>
      <c r="O12" s="247">
        <f t="shared" ref="O12" si="16">+$D12*I12</f>
        <v>0</v>
      </c>
      <c r="P12" s="247">
        <f t="shared" ref="P12:P16" si="17">J12*D12</f>
        <v>0</v>
      </c>
      <c r="R12" s="28"/>
    </row>
    <row r="13" spans="1:18" s="18" customFormat="1" ht="25">
      <c r="A13" s="244" t="s">
        <v>512</v>
      </c>
      <c r="B13" s="245" t="s">
        <v>565</v>
      </c>
      <c r="C13" s="244" t="s">
        <v>92</v>
      </c>
      <c r="D13" s="246">
        <f>+Usuarios!$H$7</f>
        <v>2</v>
      </c>
      <c r="E13" s="247"/>
      <c r="F13" s="247"/>
      <c r="G13" s="247"/>
      <c r="H13" s="247"/>
      <c r="I13" s="247"/>
      <c r="J13" s="247"/>
      <c r="K13" s="247"/>
      <c r="L13" s="247"/>
      <c r="M13" s="247"/>
      <c r="N13" s="247"/>
      <c r="O13" s="247"/>
      <c r="P13" s="247"/>
    </row>
    <row r="14" spans="1:18" s="18" customFormat="1">
      <c r="A14" s="244" t="s">
        <v>514</v>
      </c>
      <c r="B14" s="245" t="s">
        <v>515</v>
      </c>
      <c r="C14" s="244" t="s">
        <v>92</v>
      </c>
      <c r="D14" s="246">
        <f>+Usuarios!$I$7</f>
        <v>11</v>
      </c>
      <c r="E14" s="247">
        <f>+SUM('PRES MR 5 KW'!K34:K34)</f>
        <v>0</v>
      </c>
      <c r="F14" s="247">
        <f>+SUM('PRES MR 5 KW'!L34:L34)</f>
        <v>0</v>
      </c>
      <c r="G14" s="247">
        <f>+SUM('PRES MR 5 KW'!M34:M34)</f>
        <v>0</v>
      </c>
      <c r="H14" s="247">
        <f>+SUM('PRES MR 5 KW'!N34:N34)</f>
        <v>0</v>
      </c>
      <c r="I14" s="247">
        <f>+SUM('PRES MR 5 KW'!O34:O34)</f>
        <v>0</v>
      </c>
      <c r="J14" s="247">
        <f t="shared" ref="J14:J16" si="18">SUM(E14:I14)</f>
        <v>0</v>
      </c>
      <c r="K14" s="247">
        <f t="shared" ref="K14:K16" si="19">+$D14*E14</f>
        <v>0</v>
      </c>
      <c r="L14" s="247">
        <f t="shared" ref="L14:L16" si="20">+$D14*F14</f>
        <v>0</v>
      </c>
      <c r="M14" s="247">
        <f t="shared" ref="M14:M16" si="21">+$D14*G14</f>
        <v>0</v>
      </c>
      <c r="N14" s="247">
        <f t="shared" ref="N14:N16" si="22">+$D14*H14</f>
        <v>0</v>
      </c>
      <c r="O14" s="247">
        <f t="shared" ref="O14:O16" si="23">+$D14*I14</f>
        <v>0</v>
      </c>
      <c r="P14" s="247">
        <f t="shared" si="17"/>
        <v>0</v>
      </c>
      <c r="R14" s="28"/>
    </row>
    <row r="15" spans="1:18" s="18" customFormat="1">
      <c r="A15" s="244" t="s">
        <v>516</v>
      </c>
      <c r="B15" s="245" t="s">
        <v>517</v>
      </c>
      <c r="C15" s="244" t="s">
        <v>92</v>
      </c>
      <c r="D15" s="246">
        <f>+Usuarios!$I$7</f>
        <v>11</v>
      </c>
      <c r="E15" s="247">
        <f>+SUM('PRES MR 5 KW'!K36:K37)</f>
        <v>0</v>
      </c>
      <c r="F15" s="247">
        <f>+SUM('PRES MR 5 KW'!L36:L37)</f>
        <v>0</v>
      </c>
      <c r="G15" s="247">
        <f>+SUM('PRES MR 5 KW'!M36:M37)</f>
        <v>0</v>
      </c>
      <c r="H15" s="247">
        <f>+SUM('PRES MR 5 KW'!N36:N37)</f>
        <v>0</v>
      </c>
      <c r="I15" s="247">
        <f>+SUM('PRES MR 5 KW'!O36:O37)</f>
        <v>0</v>
      </c>
      <c r="J15" s="247">
        <f t="shared" si="18"/>
        <v>0</v>
      </c>
      <c r="K15" s="247">
        <f t="shared" si="19"/>
        <v>0</v>
      </c>
      <c r="L15" s="247">
        <f t="shared" si="20"/>
        <v>0</v>
      </c>
      <c r="M15" s="247">
        <f t="shared" si="21"/>
        <v>0</v>
      </c>
      <c r="N15" s="247">
        <f t="shared" si="22"/>
        <v>0</v>
      </c>
      <c r="O15" s="247">
        <f t="shared" si="23"/>
        <v>0</v>
      </c>
      <c r="P15" s="247">
        <f t="shared" si="17"/>
        <v>0</v>
      </c>
    </row>
    <row r="16" spans="1:18" s="18" customFormat="1" ht="25">
      <c r="A16" s="244" t="s">
        <v>518</v>
      </c>
      <c r="B16" s="245" t="s">
        <v>519</v>
      </c>
      <c r="C16" s="244" t="s">
        <v>92</v>
      </c>
      <c r="D16" s="246">
        <f>+Usuarios!$I$7</f>
        <v>11</v>
      </c>
      <c r="E16" s="247">
        <f>+'PRES MR 5 KW'!K39</f>
        <v>0</v>
      </c>
      <c r="F16" s="247">
        <f>+'PRES MR 5 KW'!L39</f>
        <v>0</v>
      </c>
      <c r="G16" s="247">
        <f>+'PRES MR 5 KW'!M39</f>
        <v>0</v>
      </c>
      <c r="H16" s="247">
        <f>+'PRES MR 5 KW'!N39</f>
        <v>0</v>
      </c>
      <c r="I16" s="247">
        <f>+'PRES MR 5 KW'!O39</f>
        <v>0</v>
      </c>
      <c r="J16" s="247">
        <f t="shared" si="18"/>
        <v>0</v>
      </c>
      <c r="K16" s="247">
        <f t="shared" si="19"/>
        <v>0</v>
      </c>
      <c r="L16" s="247">
        <f t="shared" si="20"/>
        <v>0</v>
      </c>
      <c r="M16" s="247">
        <f t="shared" si="21"/>
        <v>0</v>
      </c>
      <c r="N16" s="247">
        <f t="shared" si="22"/>
        <v>0</v>
      </c>
      <c r="O16" s="247">
        <f t="shared" si="23"/>
        <v>0</v>
      </c>
      <c r="P16" s="247">
        <f t="shared" si="17"/>
        <v>0</v>
      </c>
    </row>
    <row r="17" spans="1:17" s="18" customFormat="1" ht="13">
      <c r="A17" s="382">
        <v>4</v>
      </c>
      <c r="B17" s="383" t="s">
        <v>68</v>
      </c>
      <c r="C17" s="384"/>
      <c r="D17" s="384"/>
      <c r="E17" s="384"/>
      <c r="F17" s="384"/>
      <c r="G17" s="384"/>
      <c r="H17" s="384"/>
      <c r="I17" s="384"/>
      <c r="J17" s="384"/>
      <c r="K17" s="384"/>
      <c r="L17" s="384"/>
      <c r="M17" s="384"/>
      <c r="N17" s="384"/>
      <c r="O17" s="384"/>
      <c r="P17" s="403"/>
    </row>
    <row r="18" spans="1:17" s="18" customFormat="1">
      <c r="A18" s="244" t="s">
        <v>520</v>
      </c>
      <c r="B18" s="245" t="s">
        <v>521</v>
      </c>
      <c r="C18" s="244" t="s">
        <v>92</v>
      </c>
      <c r="D18" s="246">
        <v>53</v>
      </c>
      <c r="E18" s="247">
        <f>+'4.1'!G11</f>
        <v>0</v>
      </c>
      <c r="F18" s="247">
        <f>+'4.1'!G18</f>
        <v>0</v>
      </c>
      <c r="G18" s="247">
        <f>+'4.1'!G25</f>
        <v>0</v>
      </c>
      <c r="H18" s="247">
        <f>+'4.1'!G29</f>
        <v>0</v>
      </c>
      <c r="I18" s="247">
        <f>+'4.1'!G30</f>
        <v>0</v>
      </c>
      <c r="J18" s="247">
        <f t="shared" ref="J18" si="24">SUM(E18:I18)</f>
        <v>0</v>
      </c>
      <c r="K18" s="247">
        <f t="shared" ref="K18" si="25">+$D18*E18</f>
        <v>0</v>
      </c>
      <c r="L18" s="247">
        <f t="shared" ref="L18" si="26">+$D18*F18</f>
        <v>0</v>
      </c>
      <c r="M18" s="247">
        <f t="shared" ref="M18" si="27">+$D18*G18</f>
        <v>0</v>
      </c>
      <c r="N18" s="247">
        <f t="shared" ref="N18" si="28">+$D18*H18</f>
        <v>0</v>
      </c>
      <c r="O18" s="247">
        <f t="shared" ref="O18" si="29">+$D18*I18</f>
        <v>0</v>
      </c>
      <c r="P18" s="247">
        <f t="shared" ref="P18:P28" si="30">J18*D18</f>
        <v>0</v>
      </c>
    </row>
    <row r="19" spans="1:17" s="18" customFormat="1" ht="25">
      <c r="A19" s="244" t="s">
        <v>522</v>
      </c>
      <c r="B19" s="245" t="s">
        <v>523</v>
      </c>
      <c r="C19" s="244" t="s">
        <v>92</v>
      </c>
      <c r="D19" s="246">
        <v>53</v>
      </c>
      <c r="E19" s="247">
        <f>+'4.2'!G15</f>
        <v>0</v>
      </c>
      <c r="F19" s="247">
        <f>+'4.2'!G22</f>
        <v>0</v>
      </c>
      <c r="G19" s="247">
        <f>+'4.2'!G29</f>
        <v>0</v>
      </c>
      <c r="H19" s="247">
        <f>+'4.2'!G33</f>
        <v>0</v>
      </c>
      <c r="I19" s="247">
        <f>+'4.2'!G34</f>
        <v>0</v>
      </c>
      <c r="J19" s="247">
        <f t="shared" ref="J19:J28" si="31">SUM(E19:I19)</f>
        <v>0</v>
      </c>
      <c r="K19" s="247">
        <f t="shared" ref="K19:K28" si="32">+$D19*E19</f>
        <v>0</v>
      </c>
      <c r="L19" s="247">
        <f t="shared" ref="L19:L28" si="33">+$D19*F19</f>
        <v>0</v>
      </c>
      <c r="M19" s="247">
        <f t="shared" ref="M19:M28" si="34">+$D19*G19</f>
        <v>0</v>
      </c>
      <c r="N19" s="247">
        <f t="shared" ref="N19:N28" si="35">+$D19*H19</f>
        <v>0</v>
      </c>
      <c r="O19" s="247">
        <f t="shared" ref="O19:O28" si="36">+$D19*I19</f>
        <v>0</v>
      </c>
      <c r="P19" s="247">
        <f t="shared" si="30"/>
        <v>0</v>
      </c>
    </row>
    <row r="20" spans="1:17" s="18" customFormat="1">
      <c r="A20" s="244" t="s">
        <v>524</v>
      </c>
      <c r="B20" s="245" t="s">
        <v>525</v>
      </c>
      <c r="C20" s="244" t="s">
        <v>92</v>
      </c>
      <c r="D20" s="246">
        <v>30</v>
      </c>
      <c r="E20" s="247">
        <f>+'4.3'!G16</f>
        <v>0</v>
      </c>
      <c r="F20" s="247">
        <f>+'4.3'!G23</f>
        <v>0</v>
      </c>
      <c r="G20" s="247">
        <f>+'4.3'!G30</f>
        <v>0</v>
      </c>
      <c r="H20" s="247">
        <f>+'4.3'!G34</f>
        <v>0</v>
      </c>
      <c r="I20" s="247">
        <f>+'4.3'!G35</f>
        <v>0</v>
      </c>
      <c r="J20" s="247">
        <f t="shared" si="31"/>
        <v>0</v>
      </c>
      <c r="K20" s="247">
        <f t="shared" si="32"/>
        <v>0</v>
      </c>
      <c r="L20" s="247">
        <f t="shared" si="33"/>
        <v>0</v>
      </c>
      <c r="M20" s="247">
        <f t="shared" si="34"/>
        <v>0</v>
      </c>
      <c r="N20" s="247">
        <f t="shared" si="35"/>
        <v>0</v>
      </c>
      <c r="O20" s="247">
        <f t="shared" si="36"/>
        <v>0</v>
      </c>
      <c r="P20" s="247">
        <f t="shared" si="30"/>
        <v>0</v>
      </c>
    </row>
    <row r="21" spans="1:17" s="18" customFormat="1">
      <c r="A21" s="244" t="s">
        <v>526</v>
      </c>
      <c r="B21" s="245" t="s">
        <v>527</v>
      </c>
      <c r="C21" s="244" t="s">
        <v>92</v>
      </c>
      <c r="D21" s="246">
        <v>13</v>
      </c>
      <c r="E21" s="247">
        <f>+'4.4'!G17</f>
        <v>0</v>
      </c>
      <c r="F21" s="247">
        <f>+'4.4'!G24</f>
        <v>0</v>
      </c>
      <c r="G21" s="247">
        <f>+'4.4'!G31</f>
        <v>0</v>
      </c>
      <c r="H21" s="247">
        <f>+'4.4'!G35</f>
        <v>0</v>
      </c>
      <c r="I21" s="247">
        <f>+'4.4'!G36</f>
        <v>0</v>
      </c>
      <c r="J21" s="247">
        <f t="shared" si="31"/>
        <v>0</v>
      </c>
      <c r="K21" s="247">
        <f t="shared" si="32"/>
        <v>0</v>
      </c>
      <c r="L21" s="247">
        <f t="shared" si="33"/>
        <v>0</v>
      </c>
      <c r="M21" s="247">
        <f t="shared" si="34"/>
        <v>0</v>
      </c>
      <c r="N21" s="247">
        <f t="shared" si="35"/>
        <v>0</v>
      </c>
      <c r="O21" s="247">
        <f t="shared" si="36"/>
        <v>0</v>
      </c>
      <c r="P21" s="247">
        <f t="shared" si="30"/>
        <v>0</v>
      </c>
    </row>
    <row r="22" spans="1:17" s="18" customFormat="1">
      <c r="A22" s="244" t="s">
        <v>528</v>
      </c>
      <c r="B22" s="245" t="s">
        <v>529</v>
      </c>
      <c r="C22" s="244" t="s">
        <v>92</v>
      </c>
      <c r="D22" s="246">
        <v>9</v>
      </c>
      <c r="E22" s="247">
        <f>+'4.5'!G19</f>
        <v>0</v>
      </c>
      <c r="F22" s="247">
        <f>+'4.5'!G26</f>
        <v>0</v>
      </c>
      <c r="G22" s="247">
        <f>+'4.5'!G33</f>
        <v>0</v>
      </c>
      <c r="H22" s="247">
        <f>+'4.5'!G37</f>
        <v>0</v>
      </c>
      <c r="I22" s="247">
        <f>+'4.5'!G38</f>
        <v>0</v>
      </c>
      <c r="J22" s="247">
        <f t="shared" si="31"/>
        <v>0</v>
      </c>
      <c r="K22" s="247">
        <f t="shared" si="32"/>
        <v>0</v>
      </c>
      <c r="L22" s="247">
        <f t="shared" si="33"/>
        <v>0</v>
      </c>
      <c r="M22" s="247">
        <f t="shared" si="34"/>
        <v>0</v>
      </c>
      <c r="N22" s="247">
        <f t="shared" si="35"/>
        <v>0</v>
      </c>
      <c r="O22" s="247">
        <f t="shared" si="36"/>
        <v>0</v>
      </c>
      <c r="P22" s="247">
        <f t="shared" si="30"/>
        <v>0</v>
      </c>
    </row>
    <row r="23" spans="1:17" s="18" customFormat="1" ht="25">
      <c r="A23" s="244" t="s">
        <v>530</v>
      </c>
      <c r="B23" s="245" t="s">
        <v>531</v>
      </c>
      <c r="C23" s="244" t="s">
        <v>92</v>
      </c>
      <c r="D23" s="246">
        <v>11</v>
      </c>
      <c r="E23" s="247">
        <f>+'4.6'!G13</f>
        <v>0</v>
      </c>
      <c r="F23" s="247">
        <f>+'4.6'!G20</f>
        <v>0</v>
      </c>
      <c r="G23" s="247">
        <f>+'4.6'!G27</f>
        <v>0</v>
      </c>
      <c r="H23" s="247">
        <f>+'4.6'!G31</f>
        <v>0</v>
      </c>
      <c r="I23" s="247">
        <f>+'4.6'!G32</f>
        <v>0</v>
      </c>
      <c r="J23" s="247">
        <f t="shared" si="31"/>
        <v>0</v>
      </c>
      <c r="K23" s="247">
        <f t="shared" si="32"/>
        <v>0</v>
      </c>
      <c r="L23" s="247">
        <f t="shared" si="33"/>
        <v>0</v>
      </c>
      <c r="M23" s="247">
        <f t="shared" si="34"/>
        <v>0</v>
      </c>
      <c r="N23" s="247">
        <f t="shared" si="35"/>
        <v>0</v>
      </c>
      <c r="O23" s="247">
        <f t="shared" si="36"/>
        <v>0</v>
      </c>
      <c r="P23" s="247">
        <f t="shared" si="30"/>
        <v>0</v>
      </c>
    </row>
    <row r="24" spans="1:17" s="18" customFormat="1">
      <c r="A24" s="244" t="s">
        <v>532</v>
      </c>
      <c r="B24" s="245" t="s">
        <v>533</v>
      </c>
      <c r="C24" s="244" t="s">
        <v>92</v>
      </c>
      <c r="D24" s="246">
        <v>0</v>
      </c>
      <c r="E24" s="247">
        <f>+'4.7'!G14</f>
        <v>0</v>
      </c>
      <c r="F24" s="247">
        <f>+'4.7'!G21</f>
        <v>0</v>
      </c>
      <c r="G24" s="247">
        <f>+'4.7'!G28</f>
        <v>0</v>
      </c>
      <c r="H24" s="247">
        <f>+'4.7'!G32</f>
        <v>0</v>
      </c>
      <c r="I24" s="247">
        <f>+'4.7'!G33</f>
        <v>0</v>
      </c>
      <c r="J24" s="247">
        <f t="shared" si="31"/>
        <v>0</v>
      </c>
      <c r="K24" s="247">
        <f t="shared" si="32"/>
        <v>0</v>
      </c>
      <c r="L24" s="247">
        <f t="shared" si="33"/>
        <v>0</v>
      </c>
      <c r="M24" s="247">
        <f t="shared" si="34"/>
        <v>0</v>
      </c>
      <c r="N24" s="247">
        <f t="shared" si="35"/>
        <v>0</v>
      </c>
      <c r="O24" s="247">
        <f t="shared" si="36"/>
        <v>0</v>
      </c>
      <c r="P24" s="247">
        <f t="shared" si="30"/>
        <v>0</v>
      </c>
    </row>
    <row r="25" spans="1:17" s="18" customFormat="1" ht="25">
      <c r="A25" s="244" t="s">
        <v>534</v>
      </c>
      <c r="B25" s="245" t="s">
        <v>535</v>
      </c>
      <c r="C25" s="244" t="s">
        <v>536</v>
      </c>
      <c r="D25" s="246">
        <v>2000</v>
      </c>
      <c r="E25" s="247">
        <f>+'4.8'!G10</f>
        <v>0</v>
      </c>
      <c r="F25" s="247">
        <f>+'4.8'!G17</f>
        <v>0</v>
      </c>
      <c r="G25" s="247">
        <f>+'4.8'!G24</f>
        <v>0</v>
      </c>
      <c r="H25" s="247">
        <f>+'4.8'!G28</f>
        <v>0</v>
      </c>
      <c r="I25" s="247">
        <f>+'4.8'!G29</f>
        <v>0</v>
      </c>
      <c r="J25" s="247">
        <f t="shared" si="31"/>
        <v>0</v>
      </c>
      <c r="K25" s="247">
        <f t="shared" si="32"/>
        <v>0</v>
      </c>
      <c r="L25" s="247">
        <f t="shared" si="33"/>
        <v>0</v>
      </c>
      <c r="M25" s="247">
        <f t="shared" si="34"/>
        <v>0</v>
      </c>
      <c r="N25" s="247">
        <f t="shared" si="35"/>
        <v>0</v>
      </c>
      <c r="O25" s="247">
        <f t="shared" si="36"/>
        <v>0</v>
      </c>
      <c r="P25" s="247">
        <f t="shared" si="30"/>
        <v>0</v>
      </c>
    </row>
    <row r="26" spans="1:17" s="18" customFormat="1" ht="25">
      <c r="A26" s="244" t="s">
        <v>537</v>
      </c>
      <c r="B26" s="245" t="s">
        <v>538</v>
      </c>
      <c r="C26" s="244" t="s">
        <v>92</v>
      </c>
      <c r="D26" s="246">
        <v>22</v>
      </c>
      <c r="E26" s="247">
        <f>+'4.9'!G14</f>
        <v>0</v>
      </c>
      <c r="F26" s="247">
        <f>+'4.9'!G21</f>
        <v>0</v>
      </c>
      <c r="G26" s="247">
        <f>+'4.9'!G28</f>
        <v>0</v>
      </c>
      <c r="H26" s="247">
        <f>+'4.9'!G32</f>
        <v>0</v>
      </c>
      <c r="I26" s="247">
        <f>+'4.9'!G33</f>
        <v>0</v>
      </c>
      <c r="J26" s="247">
        <f t="shared" si="31"/>
        <v>0</v>
      </c>
      <c r="K26" s="247">
        <f t="shared" si="32"/>
        <v>0</v>
      </c>
      <c r="L26" s="247">
        <f t="shared" si="33"/>
        <v>0</v>
      </c>
      <c r="M26" s="247">
        <f t="shared" si="34"/>
        <v>0</v>
      </c>
      <c r="N26" s="247">
        <f t="shared" si="35"/>
        <v>0</v>
      </c>
      <c r="O26" s="247">
        <f t="shared" si="36"/>
        <v>0</v>
      </c>
      <c r="P26" s="247">
        <f t="shared" si="30"/>
        <v>0</v>
      </c>
    </row>
    <row r="27" spans="1:17" s="18" customFormat="1" ht="25">
      <c r="A27" s="244" t="s">
        <v>539</v>
      </c>
      <c r="B27" s="245" t="s">
        <v>540</v>
      </c>
      <c r="C27" s="244" t="s">
        <v>536</v>
      </c>
      <c r="D27" s="404">
        <v>300</v>
      </c>
      <c r="E27" s="247">
        <f>+'4.10'!G10</f>
        <v>0</v>
      </c>
      <c r="F27" s="247">
        <f>+'4.10'!G17</f>
        <v>0</v>
      </c>
      <c r="G27" s="247">
        <f>+'4.10'!G24</f>
        <v>0</v>
      </c>
      <c r="H27" s="247">
        <f>+'4.10'!G28</f>
        <v>0</v>
      </c>
      <c r="I27" s="247">
        <f>+'4.10'!G29</f>
        <v>0</v>
      </c>
      <c r="J27" s="247">
        <f t="shared" si="31"/>
        <v>0</v>
      </c>
      <c r="K27" s="247">
        <f t="shared" si="32"/>
        <v>0</v>
      </c>
      <c r="L27" s="247">
        <f t="shared" si="33"/>
        <v>0</v>
      </c>
      <c r="M27" s="247">
        <f t="shared" si="34"/>
        <v>0</v>
      </c>
      <c r="N27" s="247">
        <f t="shared" si="35"/>
        <v>0</v>
      </c>
      <c r="O27" s="247">
        <f t="shared" si="36"/>
        <v>0</v>
      </c>
      <c r="P27" s="247">
        <f t="shared" si="30"/>
        <v>0</v>
      </c>
    </row>
    <row r="28" spans="1:17" s="18" customFormat="1" ht="25">
      <c r="A28" s="244" t="s">
        <v>541</v>
      </c>
      <c r="B28" s="245" t="s">
        <v>542</v>
      </c>
      <c r="C28" s="244" t="s">
        <v>92</v>
      </c>
      <c r="D28" s="246">
        <v>22</v>
      </c>
      <c r="E28" s="247">
        <f>+'4.11'!G15</f>
        <v>0</v>
      </c>
      <c r="F28" s="247">
        <f>+'4.11'!G22</f>
        <v>0</v>
      </c>
      <c r="G28" s="247">
        <f>+'4.11'!G29</f>
        <v>0</v>
      </c>
      <c r="H28" s="247">
        <f>+'4.11'!G33</f>
        <v>0</v>
      </c>
      <c r="I28" s="247">
        <f>+'4.11'!G34</f>
        <v>0</v>
      </c>
      <c r="J28" s="247">
        <f t="shared" si="31"/>
        <v>0</v>
      </c>
      <c r="K28" s="247">
        <f t="shared" si="32"/>
        <v>0</v>
      </c>
      <c r="L28" s="247">
        <f t="shared" si="33"/>
        <v>0</v>
      </c>
      <c r="M28" s="247">
        <f t="shared" si="34"/>
        <v>0</v>
      </c>
      <c r="N28" s="247">
        <f t="shared" si="35"/>
        <v>0</v>
      </c>
      <c r="O28" s="247">
        <f t="shared" si="36"/>
        <v>0</v>
      </c>
      <c r="P28" s="247">
        <f t="shared" si="30"/>
        <v>0</v>
      </c>
    </row>
    <row r="29" spans="1:17" s="18" customFormat="1" ht="13">
      <c r="A29" s="382">
        <v>5</v>
      </c>
      <c r="B29" s="388" t="s">
        <v>543</v>
      </c>
      <c r="C29" s="384"/>
      <c r="D29" s="384"/>
      <c r="E29" s="384"/>
      <c r="F29" s="384"/>
      <c r="G29" s="384"/>
      <c r="H29" s="384"/>
      <c r="I29" s="384"/>
      <c r="J29" s="384"/>
      <c r="K29" s="384"/>
      <c r="L29" s="384"/>
      <c r="M29" s="384"/>
      <c r="N29" s="384"/>
      <c r="O29" s="384"/>
      <c r="P29" s="403"/>
    </row>
    <row r="30" spans="1:17" s="18" customFormat="1" ht="25">
      <c r="A30" s="244" t="s">
        <v>125</v>
      </c>
      <c r="B30" s="245" t="s">
        <v>544</v>
      </c>
      <c r="C30" s="244" t="s">
        <v>92</v>
      </c>
      <c r="D30" s="246">
        <f>+Usuarios!D7+Usuarios!H7</f>
        <v>2</v>
      </c>
      <c r="E30" s="247">
        <f>+'5.1'!G21</f>
        <v>0</v>
      </c>
      <c r="F30" s="247">
        <f>+'5.1'!G25</f>
        <v>0</v>
      </c>
      <c r="G30" s="247">
        <f>+'5.1'!G35</f>
        <v>0</v>
      </c>
      <c r="H30" s="247">
        <f>+'5.1'!G39</f>
        <v>0</v>
      </c>
      <c r="I30" s="247">
        <f>+'5.1'!G40</f>
        <v>0</v>
      </c>
      <c r="J30" s="247">
        <f t="shared" ref="J30" si="37">SUM(E30:I30)</f>
        <v>0</v>
      </c>
      <c r="K30" s="247">
        <f t="shared" ref="K30" si="38">+$D30*E30</f>
        <v>0</v>
      </c>
      <c r="L30" s="247">
        <f t="shared" ref="L30" si="39">+$D30*F30</f>
        <v>0</v>
      </c>
      <c r="M30" s="247">
        <f t="shared" ref="M30" si="40">+$D30*G30</f>
        <v>0</v>
      </c>
      <c r="N30" s="247">
        <f t="shared" ref="N30" si="41">+$D30*H30</f>
        <v>0</v>
      </c>
      <c r="O30" s="247">
        <f t="shared" ref="O30" si="42">+$D30*I30</f>
        <v>0</v>
      </c>
      <c r="P30" s="247">
        <f>J30*D30</f>
        <v>0</v>
      </c>
    </row>
    <row r="31" spans="1:17" s="18" customFormat="1" ht="18" customHeight="1">
      <c r="A31" s="532" t="s">
        <v>545</v>
      </c>
      <c r="B31" s="533"/>
      <c r="C31" s="533"/>
      <c r="D31" s="533"/>
      <c r="E31" s="533"/>
      <c r="F31" s="533"/>
      <c r="G31" s="533"/>
      <c r="H31" s="533"/>
      <c r="I31" s="533"/>
      <c r="J31" s="534"/>
      <c r="K31" s="389">
        <f>SUM(K5:K30)</f>
        <v>0</v>
      </c>
      <c r="L31" s="389">
        <f t="shared" ref="L31:O31" si="43">SUM(L5:L30)</f>
        <v>0</v>
      </c>
      <c r="M31" s="389">
        <f t="shared" si="43"/>
        <v>0</v>
      </c>
      <c r="N31" s="389">
        <f t="shared" si="43"/>
        <v>0</v>
      </c>
      <c r="O31" s="389">
        <f t="shared" si="43"/>
        <v>0</v>
      </c>
      <c r="P31" s="389">
        <f>SUM(P5:P30)</f>
        <v>0</v>
      </c>
    </row>
    <row r="32" spans="1:17" s="18" customFormat="1" ht="18" customHeight="1">
      <c r="A32" s="514" t="s">
        <v>546</v>
      </c>
      <c r="B32" s="515"/>
      <c r="C32" s="515"/>
      <c r="D32" s="515"/>
      <c r="E32" s="515"/>
      <c r="F32" s="515"/>
      <c r="G32" s="515"/>
      <c r="H32" s="515"/>
      <c r="I32" s="516"/>
      <c r="J32" s="504"/>
      <c r="K32" s="391"/>
      <c r="L32" s="391"/>
      <c r="M32" s="391"/>
      <c r="N32" s="391"/>
      <c r="O32" s="391"/>
      <c r="P32" s="391">
        <f>J32*$P$31</f>
        <v>0</v>
      </c>
      <c r="Q32" s="28"/>
    </row>
    <row r="33" spans="1:17" s="18" customFormat="1" ht="18" customHeight="1">
      <c r="A33" s="514" t="s">
        <v>547</v>
      </c>
      <c r="B33" s="515"/>
      <c r="C33" s="515"/>
      <c r="D33" s="515"/>
      <c r="E33" s="515"/>
      <c r="F33" s="515"/>
      <c r="G33" s="515"/>
      <c r="H33" s="515"/>
      <c r="I33" s="516"/>
      <c r="J33" s="504"/>
      <c r="K33" s="391"/>
      <c r="L33" s="391"/>
      <c r="M33" s="391"/>
      <c r="N33" s="391"/>
      <c r="O33" s="391"/>
      <c r="P33" s="391">
        <f t="shared" ref="P33:P34" si="44">J33*$P$31</f>
        <v>0</v>
      </c>
    </row>
    <row r="34" spans="1:17" s="18" customFormat="1" ht="18" customHeight="1">
      <c r="A34" s="514" t="s">
        <v>548</v>
      </c>
      <c r="B34" s="515"/>
      <c r="C34" s="515"/>
      <c r="D34" s="515"/>
      <c r="E34" s="515"/>
      <c r="F34" s="515"/>
      <c r="G34" s="515"/>
      <c r="H34" s="515"/>
      <c r="I34" s="516"/>
      <c r="J34" s="504"/>
      <c r="K34" s="391"/>
      <c r="L34" s="391"/>
      <c r="M34" s="391"/>
      <c r="N34" s="391"/>
      <c r="O34" s="391"/>
      <c r="P34" s="391">
        <f t="shared" si="44"/>
        <v>0</v>
      </c>
    </row>
    <row r="35" spans="1:17" s="18" customFormat="1" ht="18" customHeight="1">
      <c r="A35" s="514" t="s">
        <v>549</v>
      </c>
      <c r="B35" s="515"/>
      <c r="C35" s="515"/>
      <c r="D35" s="515"/>
      <c r="E35" s="515"/>
      <c r="F35" s="515"/>
      <c r="G35" s="515"/>
      <c r="H35" s="515"/>
      <c r="I35" s="516"/>
      <c r="J35" s="504"/>
      <c r="K35" s="391"/>
      <c r="L35" s="391"/>
      <c r="M35" s="391"/>
      <c r="N35" s="391"/>
      <c r="O35" s="391"/>
      <c r="P35" s="391">
        <f>J35*$P$34</f>
        <v>0</v>
      </c>
    </row>
    <row r="36" spans="1:17" s="18" customFormat="1" ht="18" customHeight="1">
      <c r="A36" s="514" t="s">
        <v>550</v>
      </c>
      <c r="B36" s="515"/>
      <c r="C36" s="515"/>
      <c r="D36" s="515"/>
      <c r="E36" s="515"/>
      <c r="F36" s="515"/>
      <c r="G36" s="515"/>
      <c r="H36" s="515"/>
      <c r="I36" s="516"/>
      <c r="J36" s="504"/>
      <c r="K36" s="391"/>
      <c r="L36" s="391"/>
      <c r="M36" s="391"/>
      <c r="N36" s="391"/>
      <c r="O36" s="391"/>
      <c r="P36" s="391">
        <f>SUM(P32:P35)</f>
        <v>0</v>
      </c>
    </row>
    <row r="37" spans="1:17" s="18" customFormat="1" ht="18" customHeight="1">
      <c r="A37" s="526" t="s">
        <v>551</v>
      </c>
      <c r="B37" s="527"/>
      <c r="C37" s="527"/>
      <c r="D37" s="527"/>
      <c r="E37" s="527"/>
      <c r="F37" s="527"/>
      <c r="G37" s="527"/>
      <c r="H37" s="527"/>
      <c r="I37" s="527"/>
      <c r="J37" s="528"/>
      <c r="K37" s="392"/>
      <c r="L37" s="392"/>
      <c r="M37" s="392"/>
      <c r="N37" s="392"/>
      <c r="O37" s="392"/>
      <c r="P37" s="392">
        <f>+P36+P31</f>
        <v>0</v>
      </c>
    </row>
    <row r="38" spans="1:17" s="18" customFormat="1" ht="18" customHeight="1">
      <c r="A38" s="514" t="s">
        <v>553</v>
      </c>
      <c r="B38" s="515"/>
      <c r="C38" s="515"/>
      <c r="D38" s="515"/>
      <c r="E38" s="515"/>
      <c r="F38" s="515"/>
      <c r="G38" s="515"/>
      <c r="H38" s="515"/>
      <c r="I38" s="516"/>
      <c r="J38" s="393"/>
      <c r="K38" s="391"/>
      <c r="L38" s="391"/>
      <c r="M38" s="391"/>
      <c r="N38" s="391"/>
      <c r="O38" s="391"/>
      <c r="P38" s="391">
        <f>ROUND(J38*(P12+P15+P16+SUM(P18:P28)),0)</f>
        <v>0</v>
      </c>
    </row>
    <row r="39" spans="1:17" s="18" customFormat="1" ht="18" customHeight="1">
      <c r="A39" s="514" t="s">
        <v>554</v>
      </c>
      <c r="B39" s="515"/>
      <c r="C39" s="515"/>
      <c r="D39" s="515"/>
      <c r="E39" s="515"/>
      <c r="F39" s="515"/>
      <c r="G39" s="515"/>
      <c r="H39" s="515"/>
      <c r="I39" s="516"/>
      <c r="J39" s="393"/>
      <c r="K39" s="391"/>
      <c r="L39" s="391"/>
      <c r="M39" s="391"/>
      <c r="N39" s="391"/>
      <c r="O39" s="391"/>
      <c r="P39" s="391">
        <f>+APU_PGS!G67</f>
        <v>0</v>
      </c>
    </row>
    <row r="40" spans="1:17" s="18" customFormat="1" ht="18" customHeight="1">
      <c r="A40" s="514" t="s">
        <v>555</v>
      </c>
      <c r="B40" s="515"/>
      <c r="C40" s="515"/>
      <c r="D40" s="515"/>
      <c r="E40" s="515"/>
      <c r="F40" s="515"/>
      <c r="G40" s="515"/>
      <c r="H40" s="515"/>
      <c r="I40" s="516"/>
      <c r="J40" s="393"/>
      <c r="K40" s="391"/>
      <c r="L40" s="391"/>
      <c r="M40" s="391"/>
      <c r="N40" s="391"/>
      <c r="O40" s="391"/>
      <c r="P40" s="391">
        <f>+APU_PMA!G36</f>
        <v>0</v>
      </c>
    </row>
    <row r="41" spans="1:17" s="18" customFormat="1" ht="18" customHeight="1">
      <c r="A41" s="529" t="s">
        <v>558</v>
      </c>
      <c r="B41" s="530"/>
      <c r="C41" s="530"/>
      <c r="D41" s="530"/>
      <c r="E41" s="530"/>
      <c r="F41" s="530"/>
      <c r="G41" s="530"/>
      <c r="H41" s="530"/>
      <c r="I41" s="531"/>
      <c r="J41" s="397"/>
      <c r="K41" s="397"/>
      <c r="L41" s="397"/>
      <c r="M41" s="397"/>
      <c r="N41" s="397"/>
      <c r="O41" s="397"/>
      <c r="P41" s="397">
        <f>+P37+P38+P39+P40</f>
        <v>0</v>
      </c>
    </row>
    <row r="42" spans="1:17" s="18" customFormat="1" ht="18" customHeight="1">
      <c r="A42" s="523" t="s">
        <v>559</v>
      </c>
      <c r="B42" s="524"/>
      <c r="C42" s="524"/>
      <c r="D42" s="524"/>
      <c r="E42" s="524"/>
      <c r="F42" s="524"/>
      <c r="G42" s="524"/>
      <c r="H42" s="524"/>
      <c r="I42" s="525"/>
      <c r="J42" s="398"/>
      <c r="K42" s="395"/>
      <c r="L42" s="395"/>
      <c r="M42" s="395"/>
      <c r="N42" s="395"/>
      <c r="O42" s="395"/>
      <c r="P42" s="399">
        <f>+Usuarios!K7</f>
        <v>660</v>
      </c>
    </row>
    <row r="43" spans="1:17" s="16" customFormat="1" ht="18" customHeight="1">
      <c r="A43" s="517" t="s">
        <v>560</v>
      </c>
      <c r="B43" s="518"/>
      <c r="C43" s="518"/>
      <c r="D43" s="518"/>
      <c r="E43" s="518"/>
      <c r="F43" s="518"/>
      <c r="G43" s="518"/>
      <c r="H43" s="518"/>
      <c r="I43" s="519"/>
      <c r="J43" s="400"/>
      <c r="K43" s="401"/>
      <c r="L43" s="401"/>
      <c r="M43" s="401"/>
      <c r="N43" s="401"/>
      <c r="O43" s="401"/>
      <c r="P43" s="401">
        <f>+P41/P42</f>
        <v>0</v>
      </c>
      <c r="Q43" s="170"/>
    </row>
    <row r="44" spans="1:17" ht="13">
      <c r="A44" s="520"/>
      <c r="B44" s="521"/>
      <c r="C44" s="521"/>
      <c r="D44" s="521"/>
      <c r="E44" s="521"/>
      <c r="F44" s="521"/>
      <c r="G44" s="521"/>
      <c r="H44" s="521"/>
      <c r="I44" s="521"/>
      <c r="J44" s="521"/>
      <c r="K44" s="521"/>
      <c r="L44" s="521"/>
      <c r="M44" s="521"/>
      <c r="N44" s="521"/>
      <c r="O44" s="521"/>
      <c r="P44" s="522"/>
    </row>
    <row r="45" spans="1:17" ht="25.15" customHeight="1">
      <c r="A45" s="440"/>
      <c r="B45" s="440"/>
      <c r="C45" s="440"/>
      <c r="D45" s="440"/>
      <c r="E45" s="440"/>
      <c r="F45" s="440"/>
      <c r="G45" s="440"/>
      <c r="H45" s="440"/>
      <c r="I45" s="440"/>
      <c r="J45" s="440"/>
      <c r="K45" s="440"/>
      <c r="L45" s="440"/>
      <c r="M45" s="440"/>
      <c r="N45" s="440"/>
      <c r="O45" s="440"/>
      <c r="P45" s="440"/>
    </row>
    <row r="46" spans="1:17" ht="23.5" customHeight="1"/>
    <row r="47" spans="1:17" ht="23.5" customHeight="1"/>
    <row r="48" spans="1:17" ht="33" customHeight="1"/>
    <row r="49" spans="15:16" ht="23.5" customHeight="1"/>
    <row r="54" spans="15:16" ht="13">
      <c r="O54" s="16" t="s">
        <v>561</v>
      </c>
      <c r="P54" s="402">
        <v>33263833</v>
      </c>
    </row>
    <row r="55" spans="15:16" ht="13">
      <c r="O55" s="16" t="s">
        <v>562</v>
      </c>
      <c r="P55" s="402">
        <v>41123528</v>
      </c>
    </row>
  </sheetData>
  <mergeCells count="21">
    <mergeCell ref="A31:J31"/>
    <mergeCell ref="A32:I32"/>
    <mergeCell ref="A33:I33"/>
    <mergeCell ref="A1:P1"/>
    <mergeCell ref="A2:A3"/>
    <mergeCell ref="B2:B3"/>
    <mergeCell ref="C2:C3"/>
    <mergeCell ref="D2:D3"/>
    <mergeCell ref="E2:J2"/>
    <mergeCell ref="K2:P2"/>
    <mergeCell ref="A35:I35"/>
    <mergeCell ref="A34:I34"/>
    <mergeCell ref="A43:I43"/>
    <mergeCell ref="A44:P44"/>
    <mergeCell ref="A39:I39"/>
    <mergeCell ref="A40:I40"/>
    <mergeCell ref="A42:I42"/>
    <mergeCell ref="A36:I36"/>
    <mergeCell ref="A37:J37"/>
    <mergeCell ref="A41:I41"/>
    <mergeCell ref="A38:I38"/>
  </mergeCells>
  <phoneticPr fontId="43" type="noConversion"/>
  <pageMargins left="0.84" right="0.79" top="0.55118110236220474" bottom="0.43307086614173229" header="0.31496062992125984" footer="0.31496062992125984"/>
  <pageSetup scale="3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2D0F-24B4-4481-A4DB-A78A172FCFF3}">
  <sheetPr codeName="Hoja28">
    <tabColor theme="4" tint="0.59999389629810485"/>
    <pageSetUpPr fitToPage="1"/>
  </sheetPr>
  <dimension ref="A1:G45"/>
  <sheetViews>
    <sheetView showGridLines="0" view="pageBreakPreview" zoomScale="80" zoomScaleNormal="120" zoomScaleSheetLayoutView="80" workbookViewId="0">
      <selection activeCell="G8" sqref="G8:G22"/>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2010wp'!A17</f>
        <v>2.3.1</v>
      </c>
      <c r="D3" s="31"/>
      <c r="E3" s="31"/>
      <c r="F3" s="31"/>
      <c r="G3" s="32" t="s">
        <v>652</v>
      </c>
    </row>
    <row r="4" spans="1:7" ht="61.9" customHeight="1">
      <c r="B4" s="649" t="str">
        <f>+'PRES. SISFV 2010wp'!B17</f>
        <v>Suministro e instalación de Medidor prepago monofásico bifilar 5 (80) A, 120 V, calibrado. Incluye sistema de  gestión de recaudo y equipos de comunicación standalone.</v>
      </c>
      <c r="C4" s="655"/>
      <c r="D4" s="655"/>
      <c r="E4" s="656"/>
      <c r="G4" s="33" t="str">
        <f>+'PRES. SISFV 2010wp'!C17</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342</v>
      </c>
      <c r="B8" s="69" t="str">
        <f>VLOOKUP(A8,Materiales3[],3,FALSE)</f>
        <v>Medidor Prepago 120V 5-80A</v>
      </c>
      <c r="C8" s="40" t="str">
        <f>VLOOKUP(A8,Materiales3[],4,FALSE)</f>
        <v>UN</v>
      </c>
      <c r="D8" s="40">
        <v>1</v>
      </c>
      <c r="E8" s="40">
        <f>VLOOKUP(A8,Materiales3[],5,FALSE)*D8</f>
        <v>0.5</v>
      </c>
      <c r="F8" s="42">
        <f>VLOOKUP(A8,Materiales3[],6,FALSE)</f>
        <v>0</v>
      </c>
      <c r="G8" s="461">
        <f>D8*F8</f>
        <v>0</v>
      </c>
    </row>
    <row r="9" spans="1:7" ht="14.5">
      <c r="A9" s="89">
        <v>392</v>
      </c>
      <c r="B9" s="69" t="str">
        <f>VLOOKUP(A9,Materiales3[],3,FALSE)</f>
        <v>Caja medidor pequeña con interruptor magnetico</v>
      </c>
      <c r="C9" s="40" t="str">
        <f>VLOOKUP(A9,Materiales3[],4,FALSE)</f>
        <v>UN</v>
      </c>
      <c r="D9" s="40">
        <v>1</v>
      </c>
      <c r="E9" s="40">
        <f>VLOOKUP(A9,Materiales3[],5,FALSE)*D9</f>
        <v>0.5</v>
      </c>
      <c r="F9" s="42">
        <f>VLOOKUP(A9,Materiales3[],6,FALSE)</f>
        <v>0</v>
      </c>
      <c r="G9" s="461">
        <f t="shared" ref="G9:G12" si="0">D9*F9</f>
        <v>0</v>
      </c>
    </row>
    <row r="10" spans="1:7" ht="14.5">
      <c r="A10" s="89">
        <v>393</v>
      </c>
      <c r="B10" s="69" t="str">
        <f>VLOOKUP(A10,Materiales3[],3,FALSE)</f>
        <v>Datasol DC Wifi (inlcuye 2 tarjetas Mifare)</v>
      </c>
      <c r="C10" s="40" t="str">
        <f>VLOOKUP(A10,Materiales3[],4,FALSE)</f>
        <v>UN</v>
      </c>
      <c r="D10" s="40">
        <v>1</v>
      </c>
      <c r="E10" s="40">
        <f>VLOOKUP(A10,Materiales3[],5,FALSE)*D10</f>
        <v>0.5</v>
      </c>
      <c r="F10" s="42">
        <f>VLOOKUP(A10,Materiales3[],6,FALSE)</f>
        <v>0</v>
      </c>
      <c r="G10" s="461">
        <f t="shared" si="0"/>
        <v>0</v>
      </c>
    </row>
    <row r="11" spans="1:7" ht="14.5">
      <c r="A11" s="89">
        <v>394</v>
      </c>
      <c r="B11" s="69" t="str">
        <f>VLOOKUP(A11,Materiales3[],3,FALSE)</f>
        <v>Aplicativo servidor de captura datalogger</v>
      </c>
      <c r="C11" s="40" t="str">
        <f>VLOOKUP(A11,Materiales3[],4,FALSE)</f>
        <v>UN</v>
      </c>
      <c r="D11" s="104">
        <f>1/(Usuarios!$J$7)</f>
        <v>1.5408320493066256E-3</v>
      </c>
      <c r="E11" s="104">
        <f>VLOOKUP(A11,Materiales3[],5,FALSE)*D11</f>
        <v>7.7041602465331282E-4</v>
      </c>
      <c r="F11" s="42">
        <f>VLOOKUP(A11,Materiales3[],6,FALSE)</f>
        <v>0</v>
      </c>
      <c r="G11" s="461">
        <f t="shared" si="0"/>
        <v>0</v>
      </c>
    </row>
    <row r="12" spans="1:7" ht="14.5">
      <c r="A12" s="89">
        <v>395</v>
      </c>
      <c r="B12" s="69" t="str">
        <f>VLOOKUP(A12,Materiales3[],3,FALSE)</f>
        <v>App Software Android Lectura informacion medidores</v>
      </c>
      <c r="C12" s="40" t="str">
        <f>VLOOKUP(A12,Materiales3[],4,FALSE)</f>
        <v>UN</v>
      </c>
      <c r="D12" s="104">
        <f>1/(Usuarios!$J$7)</f>
        <v>1.5408320493066256E-3</v>
      </c>
      <c r="E12" s="104">
        <f>VLOOKUP(A12,Materiales3[],5,FALSE)*D12</f>
        <v>7.7041602465331282E-4</v>
      </c>
      <c r="F12" s="42">
        <f>VLOOKUP(A12,Materiales3[],6,FALSE)</f>
        <v>0</v>
      </c>
      <c r="G12" s="461">
        <f t="shared" si="0"/>
        <v>0</v>
      </c>
    </row>
    <row r="13" spans="1:7" ht="14.5">
      <c r="A13" s="89">
        <v>343</v>
      </c>
      <c r="B13" s="69" t="str">
        <f>VLOOKUP(A13,Materiales3[],3,FALSE)</f>
        <v xml:space="preserve">Plataforma de Recaudo </v>
      </c>
      <c r="C13" s="40" t="str">
        <f>VLOOKUP(A13,Materiales3[],4,FALSE)</f>
        <v>UN</v>
      </c>
      <c r="D13" s="104">
        <f>1/(Usuarios!$C$7)</f>
        <v>1.5151515151515152E-3</v>
      </c>
      <c r="E13" s="104">
        <f>VLOOKUP(A13,Materiales3[],5,FALSE)*D13</f>
        <v>7.5757575757575758E-4</v>
      </c>
      <c r="F13" s="42">
        <f>VLOOKUP(A13,Materiales3[],6,FALSE)</f>
        <v>0</v>
      </c>
      <c r="G13" s="461">
        <f t="shared" ref="G13:G21" si="1">D13*F13</f>
        <v>0</v>
      </c>
    </row>
    <row r="14" spans="1:7" ht="14.5">
      <c r="A14" s="89">
        <v>344</v>
      </c>
      <c r="B14" s="69" t="str">
        <f>VLOOKUP(A14,Materiales3[],3,FALSE)</f>
        <v>Datafono Telpo  Local</v>
      </c>
      <c r="C14" s="40" t="str">
        <f>VLOOKUP(A14,Materiales3[],4,FALSE)</f>
        <v>UN</v>
      </c>
      <c r="D14" s="104">
        <f>6/(Usuarios!$J$7)</f>
        <v>9.2449922958397542E-3</v>
      </c>
      <c r="E14" s="104">
        <f>VLOOKUP(A14,Materiales3[],5,FALSE)*D14</f>
        <v>4.6224961479198771E-3</v>
      </c>
      <c r="F14" s="42">
        <f>VLOOKUP(A14,Materiales3[],6,FALSE)</f>
        <v>0</v>
      </c>
      <c r="G14" s="461">
        <f t="shared" si="1"/>
        <v>0</v>
      </c>
    </row>
    <row r="15" spans="1:7" ht="14.5">
      <c r="A15" s="89">
        <v>345</v>
      </c>
      <c r="B15" s="69" t="str">
        <f>VLOOKUP(A15,Materiales3[],3,FALSE)</f>
        <v xml:space="preserve"> Software Datafono Telpo Local</v>
      </c>
      <c r="C15" s="40" t="str">
        <f>VLOOKUP(A15,Materiales3[],4,FALSE)</f>
        <v>UN</v>
      </c>
      <c r="D15" s="104">
        <f>1/(Usuarios!$C$7)</f>
        <v>1.5151515151515152E-3</v>
      </c>
      <c r="E15" s="104">
        <f>VLOOKUP(A15,Materiales3[],5,FALSE)*D15</f>
        <v>0</v>
      </c>
      <c r="F15" s="42">
        <f>VLOOKUP(A15,Materiales3[],6,FALSE)</f>
        <v>0</v>
      </c>
      <c r="G15" s="461">
        <f t="shared" ref="G15" si="2">D15*F15</f>
        <v>0</v>
      </c>
    </row>
    <row r="16" spans="1:7" ht="14.5">
      <c r="A16" s="89">
        <v>346</v>
      </c>
      <c r="B16" s="69" t="str">
        <f>VLOOKUP(A16,Materiales3[],3,FALSE)</f>
        <v>Datafono Telpo  Viajero</v>
      </c>
      <c r="C16" s="40" t="str">
        <f>VLOOKUP(A16,Materiales3[],4,FALSE)</f>
        <v>UN</v>
      </c>
      <c r="D16" s="104">
        <f>12/(Usuarios!$J$7)</f>
        <v>1.8489984591679508E-2</v>
      </c>
      <c r="E16" s="104">
        <f>VLOOKUP(A16,Materiales3[],5,FALSE)*D16</f>
        <v>9.2449922958397542E-3</v>
      </c>
      <c r="F16" s="42">
        <f>VLOOKUP(A16,Materiales3[],6,FALSE)</f>
        <v>0</v>
      </c>
      <c r="G16" s="461">
        <f t="shared" si="1"/>
        <v>0</v>
      </c>
    </row>
    <row r="17" spans="1:7" ht="14.5">
      <c r="A17" s="89">
        <v>347</v>
      </c>
      <c r="B17" s="69" t="str">
        <f>VLOOKUP(A17,Materiales3[],3,FALSE)</f>
        <v xml:space="preserve"> Software Datafono Telpo Viajero</v>
      </c>
      <c r="C17" s="40" t="str">
        <f>VLOOKUP(A17,Materiales3[],4,FALSE)</f>
        <v>UN</v>
      </c>
      <c r="D17" s="104">
        <f>1/(Usuarios!$C$7)</f>
        <v>1.5151515151515152E-3</v>
      </c>
      <c r="E17" s="104">
        <f>VLOOKUP(A17,Materiales3[],5,FALSE)*D17</f>
        <v>0</v>
      </c>
      <c r="F17" s="42">
        <f>VLOOKUP(A17,Materiales3[],6,FALSE)</f>
        <v>0</v>
      </c>
      <c r="G17" s="461">
        <f t="shared" ref="G17" si="3">D17*F17</f>
        <v>0</v>
      </c>
    </row>
    <row r="18" spans="1:7" ht="14.5">
      <c r="A18" s="89">
        <v>348</v>
      </c>
      <c r="B18" s="69" t="str">
        <f>VLOOKUP(A18,Materiales3[],3,FALSE)</f>
        <v>Servidor (Pantalla-Teclado-Mouse)</v>
      </c>
      <c r="C18" s="40" t="str">
        <f>VLOOKUP(A18,Materiales3[],4,FALSE)</f>
        <v>UN</v>
      </c>
      <c r="D18" s="104">
        <f>1/(Usuarios!$C$7)</f>
        <v>1.5151515151515152E-3</v>
      </c>
      <c r="E18" s="104">
        <f>VLOOKUP(A18,Materiales3[],5,FALSE)*D18</f>
        <v>7.5757575757575758E-4</v>
      </c>
      <c r="F18" s="42">
        <f>VLOOKUP(A18,Materiales3[],6,FALSE)</f>
        <v>0</v>
      </c>
      <c r="G18" s="461">
        <f t="shared" si="1"/>
        <v>0</v>
      </c>
    </row>
    <row r="19" spans="1:7" ht="14.5">
      <c r="A19" s="89">
        <v>349</v>
      </c>
      <c r="B19" s="69" t="str">
        <f>VLOOKUP(A19,Materiales3[],3,FALSE)</f>
        <v>UPS  Servidor</v>
      </c>
      <c r="C19" s="40" t="str">
        <f>VLOOKUP(A19,Materiales3[],4,FALSE)</f>
        <v>UN</v>
      </c>
      <c r="D19" s="104">
        <f>1/(Usuarios!$C$7)</f>
        <v>1.5151515151515152E-3</v>
      </c>
      <c r="E19" s="104">
        <f>VLOOKUP(A19,Materiales3[],5,FALSE)*D19</f>
        <v>7.5757575757575758E-4</v>
      </c>
      <c r="F19" s="42">
        <f>VLOOKUP(A19,Materiales3[],6,FALSE)</f>
        <v>0</v>
      </c>
      <c r="G19" s="461">
        <f t="shared" si="1"/>
        <v>0</v>
      </c>
    </row>
    <row r="20" spans="1:7" ht="14.5">
      <c r="A20" s="89">
        <v>350</v>
      </c>
      <c r="B20" s="69" t="str">
        <f>VLOOKUP(A20,Materiales3[],3,FALSE)</f>
        <v>Entrenamiento y puesta en marcha plataforma (virtual)</v>
      </c>
      <c r="C20" s="40" t="str">
        <f>VLOOKUP(A20,Materiales3[],4,FALSE)</f>
        <v>UN</v>
      </c>
      <c r="D20" s="104">
        <f>12/(Usuarios!$J$7)</f>
        <v>1.8489984591679508E-2</v>
      </c>
      <c r="E20" s="104">
        <f>VLOOKUP(A20,Materiales3[],5,FALSE)*D20</f>
        <v>9.2449922958397542E-3</v>
      </c>
      <c r="F20" s="42">
        <f>VLOOKUP(A20,Materiales3[],6,FALSE)</f>
        <v>0</v>
      </c>
      <c r="G20" s="461">
        <f t="shared" si="1"/>
        <v>0</v>
      </c>
    </row>
    <row r="21" spans="1:7" ht="25">
      <c r="A21" s="89">
        <v>351</v>
      </c>
      <c r="B21" s="69" t="str">
        <f>VLOOKUP(A21,Materiales3[],3,FALSE)</f>
        <v>Entrenamiento y puesta en marcha servidor de captura (virtual)</v>
      </c>
      <c r="C21" s="40" t="str">
        <f>VLOOKUP(A21,Materiales3[],4,FALSE)</f>
        <v>UN</v>
      </c>
      <c r="D21" s="104">
        <f>12/(Usuarios!$J$7)</f>
        <v>1.8489984591679508E-2</v>
      </c>
      <c r="E21" s="104">
        <f>VLOOKUP(A21,Materiales3[],5,FALSE)*D21</f>
        <v>9.2449922958397542E-3</v>
      </c>
      <c r="F21" s="42">
        <f>VLOOKUP(A21,Materiales3[],6,FALSE)</f>
        <v>0</v>
      </c>
      <c r="G21" s="461">
        <f t="shared" si="1"/>
        <v>0</v>
      </c>
    </row>
    <row r="22" spans="1:7" ht="13">
      <c r="D22" s="47"/>
      <c r="E22" s="47"/>
      <c r="F22" s="48" t="s">
        <v>654</v>
      </c>
      <c r="G22" s="462">
        <f>SUM(G8:G21)</f>
        <v>0</v>
      </c>
    </row>
    <row r="23" spans="1:7">
      <c r="G23" s="73"/>
    </row>
    <row r="24" spans="1:7" ht="13">
      <c r="B24" s="50" t="s">
        <v>655</v>
      </c>
      <c r="G24" s="74"/>
    </row>
    <row r="25" spans="1:7" ht="13">
      <c r="A25" s="88" t="s">
        <v>138</v>
      </c>
      <c r="B25" s="37" t="s">
        <v>19</v>
      </c>
      <c r="C25" s="38" t="s">
        <v>665</v>
      </c>
      <c r="D25" s="38" t="s">
        <v>656</v>
      </c>
      <c r="E25" s="38"/>
      <c r="F25" s="38" t="s">
        <v>21</v>
      </c>
      <c r="G25" s="38" t="s">
        <v>286</v>
      </c>
    </row>
    <row r="26" spans="1:7" ht="14.5">
      <c r="A26" s="89">
        <v>1</v>
      </c>
      <c r="B26" s="43" t="str">
        <f>VLOOKUP(A26,Equipoyherramienta[],2,FALSE)</f>
        <v>Herramienta menor</v>
      </c>
      <c r="C26" s="44" t="str">
        <f>VLOOKUP(A26,Equipoyherramienta[],3,FALSE)</f>
        <v>UN</v>
      </c>
      <c r="D26" s="51">
        <f>VLOOKUP(A26,Equipoyherramienta[],4,FALSE)</f>
        <v>0</v>
      </c>
      <c r="E26" s="51"/>
      <c r="F26" s="71">
        <v>2.42</v>
      </c>
      <c r="G26" s="51">
        <f>ROUND(D26/F26,0)</f>
        <v>0</v>
      </c>
    </row>
    <row r="27" spans="1:7">
      <c r="B27" s="43"/>
      <c r="C27" s="44"/>
      <c r="D27" s="46"/>
      <c r="E27" s="46"/>
      <c r="F27" s="52"/>
      <c r="G27" s="53"/>
    </row>
    <row r="28" spans="1:7">
      <c r="B28" s="43"/>
      <c r="C28" s="44"/>
      <c r="D28" s="46"/>
      <c r="E28" s="46"/>
      <c r="F28" s="52"/>
      <c r="G28" s="53"/>
    </row>
    <row r="29" spans="1:7" ht="13">
      <c r="D29" s="47"/>
      <c r="E29" s="47"/>
      <c r="F29" s="48" t="s">
        <v>654</v>
      </c>
      <c r="G29" s="49">
        <f>SUM(G26:G28)</f>
        <v>0</v>
      </c>
    </row>
    <row r="30" spans="1:7" ht="13">
      <c r="D30" s="47"/>
      <c r="E30" s="47"/>
      <c r="F30" s="47"/>
      <c r="G30" s="54"/>
    </row>
    <row r="31" spans="1:7" ht="13">
      <c r="B31" s="36" t="s">
        <v>657</v>
      </c>
      <c r="G31" s="55"/>
    </row>
    <row r="32" spans="1:7" ht="13">
      <c r="A32" s="88" t="s">
        <v>138</v>
      </c>
      <c r="B32" s="37" t="s">
        <v>19</v>
      </c>
      <c r="C32" s="38" t="s">
        <v>284</v>
      </c>
      <c r="D32" s="38" t="s">
        <v>410</v>
      </c>
      <c r="E32" s="38"/>
      <c r="F32" s="38" t="s">
        <v>666</v>
      </c>
      <c r="G32" s="56" t="s">
        <v>286</v>
      </c>
    </row>
    <row r="33" spans="1:7" ht="58.9" customHeight="1">
      <c r="A33" s="89">
        <v>6</v>
      </c>
      <c r="B33" s="57" t="str">
        <f>VLOOKUP(A33,Transp.[],2,FALSE)</f>
        <v>Carga terrestre desde Barranquilla hasta Usuario, incluye cargues, descargues, cruces de río, transporte semoviente, transporte en vehículo de carga pesada y cualquier otro tranposte.</v>
      </c>
      <c r="C33" s="40" t="s">
        <v>667</v>
      </c>
      <c r="D33" s="41">
        <f>SUM(E8:E21)</f>
        <v>1.5361710323574731</v>
      </c>
      <c r="E33" s="41"/>
      <c r="F33" s="59">
        <f>VLOOKUP(A33,Transp.[],6,FALSE)</f>
        <v>0</v>
      </c>
      <c r="G33" s="59">
        <f>D33*F33</f>
        <v>0</v>
      </c>
    </row>
    <row r="34" spans="1:7" ht="13.15" customHeight="1">
      <c r="A34" s="89"/>
      <c r="B34" s="57"/>
      <c r="C34" s="40"/>
      <c r="D34" s="41"/>
      <c r="E34" s="41"/>
      <c r="F34" s="59"/>
      <c r="G34" s="59"/>
    </row>
    <row r="35" spans="1:7" ht="13.15" customHeight="1">
      <c r="A35" s="89"/>
      <c r="B35" s="57"/>
      <c r="C35" s="40"/>
      <c r="D35" s="41"/>
      <c r="E35" s="41"/>
      <c r="F35" s="59"/>
      <c r="G35" s="59"/>
    </row>
    <row r="36" spans="1:7" ht="13">
      <c r="D36" s="47"/>
      <c r="E36" s="47"/>
      <c r="F36" s="61" t="s">
        <v>654</v>
      </c>
      <c r="G36" s="49">
        <f>SUM(G33:G35)</f>
        <v>0</v>
      </c>
    </row>
    <row r="38" spans="1:7" ht="13">
      <c r="B38" s="36" t="s">
        <v>661</v>
      </c>
      <c r="D38" s="62"/>
      <c r="E38" s="62"/>
      <c r="F38" s="63"/>
      <c r="G38" s="55"/>
    </row>
    <row r="39" spans="1:7" s="47" customFormat="1" ht="13">
      <c r="A39" s="88" t="s">
        <v>138</v>
      </c>
      <c r="B39" s="38" t="s">
        <v>19</v>
      </c>
      <c r="C39" s="38" t="s">
        <v>662</v>
      </c>
      <c r="D39" s="38" t="s">
        <v>663</v>
      </c>
      <c r="E39" s="38"/>
      <c r="F39" s="38" t="s">
        <v>21</v>
      </c>
      <c r="G39" s="56" t="s">
        <v>286</v>
      </c>
    </row>
    <row r="40" spans="1:7" ht="14.5">
      <c r="A40" s="89">
        <v>1</v>
      </c>
      <c r="B40" s="64" t="str">
        <f>VLOOKUP(A40,ManoObra[],2,FALSE)</f>
        <v>Electricista</v>
      </c>
      <c r="C40" s="65">
        <f>VLOOKUP(A40,ManoObra[],8,FALSE)</f>
        <v>0</v>
      </c>
      <c r="D40" s="52">
        <f>+FP!E27</f>
        <v>0</v>
      </c>
      <c r="E40" s="52"/>
      <c r="F40" s="71">
        <f>+F26/2</f>
        <v>1.21</v>
      </c>
      <c r="G40" s="51">
        <f>ROUND(C40*D40/F40,0)</f>
        <v>0</v>
      </c>
    </row>
    <row r="41" spans="1:7" ht="14.5">
      <c r="A41" s="89">
        <v>2</v>
      </c>
      <c r="B41" s="64" t="str">
        <f>VLOOKUP(A41,ManoObra[],2,FALSE)</f>
        <v>Ayudante</v>
      </c>
      <c r="C41" s="65">
        <f>VLOOKUP(A41,ManoObra[],8,FALSE)</f>
        <v>0</v>
      </c>
      <c r="D41" s="52">
        <f>+FP!E27</f>
        <v>0</v>
      </c>
      <c r="E41" s="52"/>
      <c r="F41" s="71">
        <f>+F40</f>
        <v>1.21</v>
      </c>
      <c r="G41" s="51">
        <f>ROUND(C41*D41/F41,0)</f>
        <v>0</v>
      </c>
    </row>
    <row r="42" spans="1:7" ht="14.5">
      <c r="A42" s="89"/>
      <c r="B42" s="70"/>
      <c r="C42" s="65"/>
      <c r="D42" s="52"/>
      <c r="E42" s="52"/>
      <c r="F42" s="45"/>
      <c r="G42" s="51"/>
    </row>
    <row r="43" spans="1:7" ht="13">
      <c r="D43" s="47"/>
      <c r="E43" s="47"/>
      <c r="F43" s="61" t="s">
        <v>654</v>
      </c>
      <c r="G43" s="75">
        <f>SUM(G40:G42)</f>
        <v>0</v>
      </c>
    </row>
    <row r="44" spans="1:7" ht="13">
      <c r="D44" s="47"/>
      <c r="E44" s="47"/>
      <c r="G44" s="55"/>
    </row>
    <row r="45" spans="1:7" ht="12.75" customHeight="1">
      <c r="B45" s="47"/>
      <c r="D45" s="652" t="s">
        <v>664</v>
      </c>
      <c r="E45" s="654"/>
      <c r="F45" s="653"/>
      <c r="G45" s="66">
        <f>G22+G29+G36+G43</f>
        <v>0</v>
      </c>
    </row>
  </sheetData>
  <mergeCells count="3">
    <mergeCell ref="B1:G1"/>
    <mergeCell ref="B4:E4"/>
    <mergeCell ref="D45:F45"/>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52FD-55E2-45E4-9D79-E4CB9F801629}">
  <sheetPr codeName="Hoja42">
    <tabColor theme="4" tint="0.59999389629810485"/>
    <pageSetUpPr fitToPage="1"/>
  </sheetPr>
  <dimension ref="A1:G48"/>
  <sheetViews>
    <sheetView showGridLines="0" view="pageBreakPreview" zoomScale="80" zoomScaleNormal="120" zoomScaleSheetLayoutView="80" workbookViewId="0">
      <selection activeCell="A4" sqref="A4:A4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SISFV 2010wp'!A19</f>
        <v>2.4.1</v>
      </c>
      <c r="D3" s="31"/>
      <c r="E3" s="31"/>
      <c r="F3" s="31"/>
      <c r="G3" s="32" t="s">
        <v>652</v>
      </c>
    </row>
    <row r="4" spans="1:7" ht="61.15" customHeight="1">
      <c r="B4" s="649" t="str">
        <f>+'PRES. SISFV 2010wp'!B19</f>
        <v>Instalaciones Internas que incluyan 4 salidas de alumbrado y 4 tomacorrientes. Se considera implementación de hasta 20 metros de tubería EMT de 3/4" y hasta 80 mts de cable de cobre aislado THHN No. 12 AWG</v>
      </c>
      <c r="C4" s="655"/>
      <c r="D4" s="655"/>
      <c r="E4" s="656"/>
      <c r="G4" s="33" t="str">
        <f>+'PRES. SISFV 2010wp'!C19</f>
        <v>UN</v>
      </c>
    </row>
    <row r="5" spans="1:7" ht="13">
      <c r="B5" s="34"/>
      <c r="G5" s="35"/>
    </row>
    <row r="6" spans="1:7" ht="13">
      <c r="B6" s="50" t="s">
        <v>653</v>
      </c>
    </row>
    <row r="7" spans="1:7" ht="13">
      <c r="A7" s="70" t="s">
        <v>138</v>
      </c>
      <c r="B7" s="38" t="s">
        <v>19</v>
      </c>
      <c r="C7" s="38" t="s">
        <v>284</v>
      </c>
      <c r="D7" s="38" t="s">
        <v>48</v>
      </c>
      <c r="E7" s="38" t="s">
        <v>410</v>
      </c>
      <c r="F7" s="38" t="s">
        <v>285</v>
      </c>
      <c r="G7" s="38" t="s">
        <v>286</v>
      </c>
    </row>
    <row r="8" spans="1:7" ht="14.5">
      <c r="A8" s="105">
        <v>118</v>
      </c>
      <c r="B8" s="69" t="str">
        <f>VLOOKUP(A8,Materiales3[],3,FALSE)</f>
        <v>Tablero de distribución 1Ø - 3H de 4 circuitos</v>
      </c>
      <c r="C8" s="40" t="str">
        <f>VLOOKUP(A8,Materiales3[],4,FALSE)</f>
        <v>UN</v>
      </c>
      <c r="D8" s="40">
        <v>1</v>
      </c>
      <c r="E8" s="40">
        <f>VLOOKUP(A8,Materiales3[],5,FALSE)*D8</f>
        <v>1.21</v>
      </c>
      <c r="F8" s="42">
        <f>VLOOKUP(A8,Materiales3[],6,FALSE)</f>
        <v>0</v>
      </c>
      <c r="G8" s="42">
        <f>D8*F8</f>
        <v>0</v>
      </c>
    </row>
    <row r="9" spans="1:7" ht="22.15" customHeight="1">
      <c r="A9" s="105">
        <v>119</v>
      </c>
      <c r="B9" s="69" t="str">
        <f>VLOOKUP(A9,Materiales3[],3,FALSE)</f>
        <v>Interruptor termomagnético enchufable 1 x 20 A, 120 VAC - 10 KA</v>
      </c>
      <c r="C9" s="40" t="str">
        <f>VLOOKUP(A9,Materiales3[],4,FALSE)</f>
        <v>UN</v>
      </c>
      <c r="D9" s="106">
        <v>2</v>
      </c>
      <c r="E9" s="40">
        <f>VLOOKUP(A9,Materiales3[],5,FALSE)*D9</f>
        <v>0.48</v>
      </c>
      <c r="F9" s="42">
        <f>VLOOKUP(A9,Materiales3[],6,FALSE)</f>
        <v>0</v>
      </c>
      <c r="G9" s="42">
        <f t="shared" ref="G9:G24" si="0">D9*F9</f>
        <v>0</v>
      </c>
    </row>
    <row r="10" spans="1:7" ht="14.5">
      <c r="A10" s="105">
        <v>120</v>
      </c>
      <c r="B10" s="69" t="str">
        <f>VLOOKUP(A10,Materiales3[],3,FALSE)</f>
        <v>Caja PVC 4" x 4" con tapa lisa</v>
      </c>
      <c r="C10" s="40" t="str">
        <f>VLOOKUP(A10,Materiales3[],4,FALSE)</f>
        <v>UN</v>
      </c>
      <c r="D10" s="106">
        <v>2</v>
      </c>
      <c r="E10" s="40">
        <f>VLOOKUP(A10,Materiales3[],5,FALSE)*D10</f>
        <v>0.13600000000000001</v>
      </c>
      <c r="F10" s="42">
        <f>VLOOKUP(A10,Materiales3[],6,FALSE)</f>
        <v>0</v>
      </c>
      <c r="G10" s="42">
        <f t="shared" si="0"/>
        <v>0</v>
      </c>
    </row>
    <row r="11" spans="1:7" ht="14.5">
      <c r="A11" s="105">
        <v>121</v>
      </c>
      <c r="B11" s="69" t="str">
        <f>VLOOKUP(A11,Materiales3[],3,FALSE)</f>
        <v>Plafón de losa</v>
      </c>
      <c r="C11" s="40" t="str">
        <f>VLOOKUP(A11,Materiales3[],4,FALSE)</f>
        <v>UN</v>
      </c>
      <c r="D11" s="106">
        <v>4</v>
      </c>
      <c r="E11" s="40">
        <f>VLOOKUP(A11,Materiales3[],5,FALSE)*D11</f>
        <v>0.23599999999999999</v>
      </c>
      <c r="F11" s="42">
        <f>VLOOKUP(A11,Materiales3[],6,FALSE)</f>
        <v>0</v>
      </c>
      <c r="G11" s="42">
        <f t="shared" si="0"/>
        <v>0</v>
      </c>
    </row>
    <row r="12" spans="1:7" ht="14.5">
      <c r="A12" s="105">
        <v>122</v>
      </c>
      <c r="B12" s="69" t="str">
        <f>VLOOKUP(A12,Materiales3[],3,FALSE)</f>
        <v>Interruptor sencillo</v>
      </c>
      <c r="C12" s="40" t="str">
        <f>VLOOKUP(A12,Materiales3[],4,FALSE)</f>
        <v>UN</v>
      </c>
      <c r="D12" s="106">
        <v>4</v>
      </c>
      <c r="E12" s="40">
        <f>VLOOKUP(A12,Materiales3[],5,FALSE)*D12</f>
        <v>0.12</v>
      </c>
      <c r="F12" s="42">
        <f>VLOOKUP(A12,Materiales3[],6,FALSE)</f>
        <v>0</v>
      </c>
      <c r="G12" s="42">
        <f t="shared" si="0"/>
        <v>0</v>
      </c>
    </row>
    <row r="13" spans="1:7" ht="14.5">
      <c r="A13" s="105">
        <v>123</v>
      </c>
      <c r="B13" s="69" t="str">
        <f>VLOOKUP(A13,Materiales3[],3,FALSE)</f>
        <v>Conector tipo resorte No 12 AWG</v>
      </c>
      <c r="C13" s="40" t="str">
        <f>VLOOKUP(A13,Materiales3[],4,FALSE)</f>
        <v>UN</v>
      </c>
      <c r="D13" s="106">
        <v>16</v>
      </c>
      <c r="E13" s="40">
        <f>VLOOKUP(A13,Materiales3[],5,FALSE)*D13</f>
        <v>0.16</v>
      </c>
      <c r="F13" s="42">
        <f>VLOOKUP(A13,Materiales3[],6,FALSE)</f>
        <v>0</v>
      </c>
      <c r="G13" s="42">
        <f t="shared" si="0"/>
        <v>0</v>
      </c>
    </row>
    <row r="14" spans="1:7" ht="14.5">
      <c r="A14" s="105">
        <v>124</v>
      </c>
      <c r="B14" s="69" t="str">
        <f>VLOOKUP(A14,Materiales3[],3,FALSE)</f>
        <v>Cable Cu THHN 12 AWG</v>
      </c>
      <c r="C14" s="40" t="str">
        <f>VLOOKUP(A14,Materiales3[],4,FALSE)</f>
        <v>ML</v>
      </c>
      <c r="D14" s="106">
        <f>22*3</f>
        <v>66</v>
      </c>
      <c r="E14" s="40">
        <f>VLOOKUP(A14,Materiales3[],5,FALSE)*D14</f>
        <v>2.2440000000000002</v>
      </c>
      <c r="F14" s="42">
        <f>VLOOKUP(A14,Materiales3[],6,FALSE)</f>
        <v>0</v>
      </c>
      <c r="G14" s="42">
        <f t="shared" si="0"/>
        <v>0</v>
      </c>
    </row>
    <row r="15" spans="1:7" ht="14.5">
      <c r="A15" s="105">
        <v>246</v>
      </c>
      <c r="B15" s="69" t="str">
        <f>VLOOKUP(A15,Materiales3[],3,FALSE)&amp;" Verde"</f>
        <v>Cable Cu THHN 8 AWG Verde</v>
      </c>
      <c r="C15" s="40" t="str">
        <f>VLOOKUP(A15,Materiales3[],4,FALSE)</f>
        <v>ML</v>
      </c>
      <c r="D15" s="106">
        <f>2.625+0.525*2</f>
        <v>3.6749999999999998</v>
      </c>
      <c r="E15" s="40">
        <f>VLOOKUP(A15,Materiales3[],5,FALSE)*D15</f>
        <v>0.3528</v>
      </c>
      <c r="F15" s="42">
        <f>VLOOKUP(A15,Materiales3[],6,FALSE)</f>
        <v>0</v>
      </c>
      <c r="G15" s="42">
        <f t="shared" si="0"/>
        <v>0</v>
      </c>
    </row>
    <row r="16" spans="1:7" ht="14.5">
      <c r="A16" s="105">
        <v>125</v>
      </c>
      <c r="B16" s="69" t="str">
        <f>VLOOKUP(A16,Materiales3[],3,FALSE)</f>
        <v>Tornillo metálico galvanizado 1/4" x 1" con arandela</v>
      </c>
      <c r="C16" s="40" t="str">
        <f>VLOOKUP(A16,Materiales3[],4,FALSE)</f>
        <v>UN</v>
      </c>
      <c r="D16" s="106">
        <v>80</v>
      </c>
      <c r="E16" s="40">
        <f>VLOOKUP(A16,Materiales3[],5,FALSE)*D16</f>
        <v>0.08</v>
      </c>
      <c r="F16" s="42">
        <f>VLOOKUP(A16,Materiales3[],6,FALSE)</f>
        <v>0</v>
      </c>
      <c r="G16" s="42">
        <f t="shared" si="0"/>
        <v>0</v>
      </c>
    </row>
    <row r="17" spans="1:7" ht="14.5">
      <c r="A17" s="105">
        <v>126</v>
      </c>
      <c r="B17" s="69" t="str">
        <f>VLOOKUP(A17,Materiales3[],3,FALSE)</f>
        <v>Caja PVC Octagonal</v>
      </c>
      <c r="C17" s="40" t="str">
        <f>VLOOKUP(A17,Materiales3[],4,FALSE)</f>
        <v>UN</v>
      </c>
      <c r="D17" s="106">
        <v>4</v>
      </c>
      <c r="E17" s="40">
        <f>VLOOKUP(A17,Materiales3[],5,FALSE)*D17</f>
        <v>0.2</v>
      </c>
      <c r="F17" s="42">
        <f>VLOOKUP(A17,Materiales3[],6,FALSE)</f>
        <v>0</v>
      </c>
      <c r="G17" s="42">
        <f t="shared" si="0"/>
        <v>0</v>
      </c>
    </row>
    <row r="18" spans="1:7" ht="14.5">
      <c r="A18" s="105">
        <v>81</v>
      </c>
      <c r="B18" s="69" t="str">
        <f>VLOOKUP(A18,Materiales3[],3,FALSE)</f>
        <v>Abrazadera metálica galvanizada doble ala 3/4"</v>
      </c>
      <c r="C18" s="40" t="str">
        <f>VLOOKUP(A18,Materiales3[],4,FALSE)</f>
        <v>UN</v>
      </c>
      <c r="D18" s="106">
        <v>40</v>
      </c>
      <c r="E18" s="40">
        <f>VLOOKUP(A18,Materiales3[],5,FALSE)*D18</f>
        <v>2</v>
      </c>
      <c r="F18" s="42">
        <f>VLOOKUP(A18,Materiales3[],6,FALSE)</f>
        <v>0</v>
      </c>
      <c r="G18" s="42">
        <f t="shared" si="0"/>
        <v>0</v>
      </c>
    </row>
    <row r="19" spans="1:7" ht="14.5">
      <c r="A19" s="105">
        <v>66</v>
      </c>
      <c r="B19" s="69" t="str">
        <f>VLOOKUP(A19,Materiales3[],3,FALSE)</f>
        <v>Caja PVC 2" x 4"</v>
      </c>
      <c r="C19" s="40" t="str">
        <f>VLOOKUP(A19,Materiales3[],4,FALSE)</f>
        <v>UN</v>
      </c>
      <c r="D19" s="106">
        <v>8</v>
      </c>
      <c r="E19" s="40">
        <f>VLOOKUP(A19,Materiales3[],5,FALSE)*D19</f>
        <v>0.08</v>
      </c>
      <c r="F19" s="42">
        <f>VLOOKUP(A19,Materiales3[],6,FALSE)</f>
        <v>0</v>
      </c>
      <c r="G19" s="42">
        <f t="shared" si="0"/>
        <v>0</v>
      </c>
    </row>
    <row r="20" spans="1:7" ht="14.5">
      <c r="A20" s="105">
        <v>65</v>
      </c>
      <c r="B20" s="69" t="str">
        <f>VLOOKUP(A20,Materiales3[],3,FALSE)</f>
        <v>Tomacorriente doble con polo a tierra</v>
      </c>
      <c r="C20" s="40" t="str">
        <f>VLOOKUP(A20,Materiales3[],4,FALSE)</f>
        <v>UN</v>
      </c>
      <c r="D20" s="106">
        <v>4</v>
      </c>
      <c r="E20" s="40">
        <f>VLOOKUP(A20,Materiales3[],5,FALSE)*D20</f>
        <v>0.04</v>
      </c>
      <c r="F20" s="42">
        <f>VLOOKUP(A20,Materiales3[],6,FALSE)</f>
        <v>0</v>
      </c>
      <c r="G20" s="42">
        <f t="shared" si="0"/>
        <v>0</v>
      </c>
    </row>
    <row r="21" spans="1:7" ht="14.5">
      <c r="A21" s="105">
        <v>133</v>
      </c>
      <c r="B21" s="69" t="str">
        <f>VLOOKUP(A21,Materiales3[],3,FALSE)</f>
        <v>Uniones, curvas y terminales IMC. Varios calibres</v>
      </c>
      <c r="C21" s="40" t="str">
        <f>VLOOKUP(A21,Materiales3[],4,FALSE)</f>
        <v>UN</v>
      </c>
      <c r="D21" s="106">
        <v>2</v>
      </c>
      <c r="E21" s="40">
        <f>VLOOKUP(A21,Materiales3[],5,FALSE)*D21</f>
        <v>0.36</v>
      </c>
      <c r="F21" s="42">
        <f>VLOOKUP(A21,Materiales3[],6,FALSE)</f>
        <v>0</v>
      </c>
      <c r="G21" s="42">
        <f t="shared" si="0"/>
        <v>0</v>
      </c>
    </row>
    <row r="22" spans="1:7" ht="14.5">
      <c r="A22" s="105">
        <v>405</v>
      </c>
      <c r="B22" s="69" t="str">
        <f>VLOOKUP(A22,Materiales3[],3,FALSE)</f>
        <v>Tubo conduit metalico EMT 3/4"</v>
      </c>
      <c r="C22" s="40" t="str">
        <f>VLOOKUP(A22,Materiales3[],4,FALSE)</f>
        <v>ML</v>
      </c>
      <c r="D22" s="106">
        <v>20</v>
      </c>
      <c r="E22" s="40">
        <f>VLOOKUP(A22,Materiales3[],5,FALSE)*D22</f>
        <v>13.799999999999999</v>
      </c>
      <c r="F22" s="42">
        <f>VLOOKUP(A22,Materiales3[],6,FALSE)</f>
        <v>0</v>
      </c>
      <c r="G22" s="42">
        <f t="shared" si="0"/>
        <v>0</v>
      </c>
    </row>
    <row r="23" spans="1:7" ht="14.5">
      <c r="A23" s="105">
        <v>406</v>
      </c>
      <c r="B23" s="69" t="str">
        <f>VLOOKUP(A23,Materiales3[],3,FALSE)</f>
        <v>Unión conduit metalica EMT 3/4"</v>
      </c>
      <c r="C23" s="40" t="str">
        <f>VLOOKUP(A23,Materiales3[],4,FALSE)</f>
        <v>UN</v>
      </c>
      <c r="D23" s="106">
        <v>8</v>
      </c>
      <c r="E23" s="40">
        <f>VLOOKUP(A23,Materiales3[],5,FALSE)*D23</f>
        <v>0.46400000000000002</v>
      </c>
      <c r="F23" s="42">
        <f>VLOOKUP(A23,Materiales3[],6,FALSE)</f>
        <v>0</v>
      </c>
      <c r="G23" s="42">
        <f t="shared" si="0"/>
        <v>0</v>
      </c>
    </row>
    <row r="24" spans="1:7" ht="14.5">
      <c r="A24" s="105">
        <v>407</v>
      </c>
      <c r="B24" s="69" t="str">
        <f>VLOOKUP(A24,Materiales3[],3,FALSE)</f>
        <v>Terminal conduit metalica EMT 3/4"</v>
      </c>
      <c r="C24" s="40" t="str">
        <f>VLOOKUP(A24,Materiales3[],4,FALSE)</f>
        <v>UN</v>
      </c>
      <c r="D24" s="106">
        <v>24</v>
      </c>
      <c r="E24" s="40">
        <f>VLOOKUP(A24,Materiales3[],5,FALSE)*D24</f>
        <v>1.3920000000000001</v>
      </c>
      <c r="F24" s="42">
        <f>VLOOKUP(A24,Materiales3[],6,FALSE)</f>
        <v>0</v>
      </c>
      <c r="G24" s="42">
        <f t="shared" si="0"/>
        <v>0</v>
      </c>
    </row>
    <row r="25" spans="1:7" ht="13">
      <c r="D25" s="47"/>
      <c r="E25" s="47"/>
      <c r="F25" s="61" t="s">
        <v>654</v>
      </c>
      <c r="G25" s="75">
        <f>SUM(G8:G24)</f>
        <v>0</v>
      </c>
    </row>
    <row r="26" spans="1:7">
      <c r="G26" s="73"/>
    </row>
    <row r="27" spans="1:7" ht="13">
      <c r="B27" s="50" t="s">
        <v>655</v>
      </c>
      <c r="G27" s="74"/>
    </row>
    <row r="28" spans="1:7" ht="13">
      <c r="A28" s="88" t="s">
        <v>138</v>
      </c>
      <c r="B28" s="37" t="s">
        <v>19</v>
      </c>
      <c r="C28" s="38" t="s">
        <v>665</v>
      </c>
      <c r="D28" s="38" t="s">
        <v>656</v>
      </c>
      <c r="E28" s="38"/>
      <c r="F28" s="38" t="s">
        <v>21</v>
      </c>
      <c r="G28" s="38" t="s">
        <v>286</v>
      </c>
    </row>
    <row r="29" spans="1:7" ht="14.5">
      <c r="A29" s="89">
        <v>1</v>
      </c>
      <c r="B29" s="43" t="str">
        <f>VLOOKUP(A29,Equipoyherramienta[],2,FALSE)</f>
        <v>Herramienta menor</v>
      </c>
      <c r="C29" s="44" t="str">
        <f>VLOOKUP(A29,Equipoyherramienta[],3,FALSE)</f>
        <v>UN</v>
      </c>
      <c r="D29" s="51">
        <f>VLOOKUP(A29,Equipoyherramienta[],4,FALSE)</f>
        <v>0</v>
      </c>
      <c r="E29" s="51"/>
      <c r="F29" s="71">
        <f>+RENDIMIENTOS!C23</f>
        <v>2</v>
      </c>
      <c r="G29" s="51">
        <f>ROUND(D29/F29,0)</f>
        <v>0</v>
      </c>
    </row>
    <row r="30" spans="1:7">
      <c r="B30" s="43"/>
      <c r="C30" s="44"/>
      <c r="D30" s="46"/>
      <c r="E30" s="46"/>
      <c r="F30" s="52"/>
      <c r="G30" s="53"/>
    </row>
    <row r="31" spans="1:7">
      <c r="B31" s="43"/>
      <c r="C31" s="44"/>
      <c r="D31" s="46"/>
      <c r="E31" s="46"/>
      <c r="F31" s="52"/>
      <c r="G31" s="53"/>
    </row>
    <row r="32" spans="1:7" ht="13">
      <c r="D32" s="47"/>
      <c r="E32" s="47"/>
      <c r="F32" s="48" t="s">
        <v>654</v>
      </c>
      <c r="G32" s="49">
        <f>SUM(G29:G31)</f>
        <v>0</v>
      </c>
    </row>
    <row r="33" spans="1:7" ht="13">
      <c r="D33" s="47"/>
      <c r="E33" s="47"/>
      <c r="F33" s="47"/>
      <c r="G33" s="54"/>
    </row>
    <row r="34" spans="1:7" ht="13">
      <c r="B34" s="36" t="s">
        <v>657</v>
      </c>
      <c r="G34" s="55"/>
    </row>
    <row r="35" spans="1:7" ht="13">
      <c r="A35" s="88" t="s">
        <v>138</v>
      </c>
      <c r="B35" s="37" t="s">
        <v>19</v>
      </c>
      <c r="C35" s="38" t="s">
        <v>284</v>
      </c>
      <c r="D35" s="38" t="s">
        <v>410</v>
      </c>
      <c r="E35" s="38"/>
      <c r="F35" s="38" t="s">
        <v>666</v>
      </c>
      <c r="G35" s="56" t="s">
        <v>286</v>
      </c>
    </row>
    <row r="36" spans="1:7" ht="26.5" customHeight="1">
      <c r="A36" s="89">
        <v>6</v>
      </c>
      <c r="B36" s="57" t="str">
        <f>VLOOKUP(A36,Transp.[],2,FALSE)</f>
        <v>Carga terrestre desde Barranquilla hasta Usuario, incluye cargues, descargues, cruces de río, transporte semoviente, transporte en vehículo de carga pesada y cualquier otro tranposte.</v>
      </c>
      <c r="C36" s="40" t="s">
        <v>667</v>
      </c>
      <c r="D36" s="41">
        <f>SUM(E8:E24)</f>
        <v>23.354799999999997</v>
      </c>
      <c r="E36" s="41"/>
      <c r="F36" s="59">
        <f>VLOOKUP(A36,Transp.[],6,FALSE)</f>
        <v>0</v>
      </c>
      <c r="G36" s="59">
        <f>D36*F36</f>
        <v>0</v>
      </c>
    </row>
    <row r="37" spans="1:7" ht="13.15" customHeight="1">
      <c r="A37" s="89"/>
      <c r="B37" s="57"/>
      <c r="C37" s="40"/>
      <c r="D37" s="41"/>
      <c r="E37" s="41"/>
      <c r="F37" s="59"/>
      <c r="G37" s="59"/>
    </row>
    <row r="38" spans="1:7" ht="13.15" customHeight="1">
      <c r="A38" s="89"/>
      <c r="B38" s="57"/>
      <c r="C38" s="40"/>
      <c r="D38" s="41"/>
      <c r="E38" s="41"/>
      <c r="F38" s="59"/>
      <c r="G38" s="59"/>
    </row>
    <row r="39" spans="1:7" ht="13">
      <c r="D39" s="47"/>
      <c r="E39" s="47"/>
      <c r="F39" s="61" t="s">
        <v>654</v>
      </c>
      <c r="G39" s="49">
        <f>SUM(G36:G38)</f>
        <v>0</v>
      </c>
    </row>
    <row r="41" spans="1:7" ht="13">
      <c r="B41" s="36" t="s">
        <v>661</v>
      </c>
      <c r="D41" s="62"/>
      <c r="E41" s="62"/>
      <c r="F41" s="63"/>
      <c r="G41" s="55"/>
    </row>
    <row r="42" spans="1:7" s="47" customFormat="1" ht="13">
      <c r="A42" s="88" t="s">
        <v>138</v>
      </c>
      <c r="B42" s="38" t="s">
        <v>19</v>
      </c>
      <c r="C42" s="38" t="s">
        <v>662</v>
      </c>
      <c r="D42" s="38" t="s">
        <v>663</v>
      </c>
      <c r="E42" s="38"/>
      <c r="F42" s="38" t="s">
        <v>21</v>
      </c>
      <c r="G42" s="56" t="s">
        <v>286</v>
      </c>
    </row>
    <row r="43" spans="1:7" ht="14.5">
      <c r="A43" s="89">
        <v>1</v>
      </c>
      <c r="B43" s="64" t="str">
        <f>VLOOKUP(A43,ManoObra[],2,FALSE)</f>
        <v>Electricista</v>
      </c>
      <c r="C43" s="65">
        <f>VLOOKUP(A43,ManoObra[],8,FALSE)</f>
        <v>0</v>
      </c>
      <c r="D43" s="52">
        <f>+FP!E27</f>
        <v>0</v>
      </c>
      <c r="E43" s="52"/>
      <c r="F43" s="71">
        <f>F29</f>
        <v>2</v>
      </c>
      <c r="G43" s="51">
        <f>ROUND(C43*D43/F43,0)</f>
        <v>0</v>
      </c>
    </row>
    <row r="44" spans="1:7" ht="14.5">
      <c r="A44" s="89">
        <v>2</v>
      </c>
      <c r="B44" s="64" t="str">
        <f>VLOOKUP(A44,ManoObra[],2,FALSE)</f>
        <v>Ayudante</v>
      </c>
      <c r="C44" s="65">
        <f>VLOOKUP(A44,ManoObra[],8,FALSE)</f>
        <v>0</v>
      </c>
      <c r="D44" s="52">
        <f>+FP!E27</f>
        <v>0</v>
      </c>
      <c r="E44" s="52"/>
      <c r="F44" s="71">
        <f>F29</f>
        <v>2</v>
      </c>
      <c r="G44" s="51">
        <f>ROUND(C44*D44/F44,0)</f>
        <v>0</v>
      </c>
    </row>
    <row r="45" spans="1:7" ht="14.5">
      <c r="A45" s="89"/>
      <c r="B45" s="70"/>
      <c r="C45" s="65"/>
      <c r="D45" s="52"/>
      <c r="E45" s="52"/>
      <c r="F45" s="45"/>
      <c r="G45" s="51"/>
    </row>
    <row r="46" spans="1:7" ht="13">
      <c r="D46" s="47"/>
      <c r="E46" s="47"/>
      <c r="F46" s="61" t="s">
        <v>654</v>
      </c>
      <c r="G46" s="75">
        <f>SUM(G43:G45)</f>
        <v>0</v>
      </c>
    </row>
    <row r="47" spans="1:7" ht="13">
      <c r="D47" s="47"/>
      <c r="E47" s="47"/>
      <c r="G47" s="55"/>
    </row>
    <row r="48" spans="1:7" ht="12.75" customHeight="1">
      <c r="B48" s="47"/>
      <c r="D48" s="652" t="s">
        <v>664</v>
      </c>
      <c r="E48" s="654"/>
      <c r="F48" s="653"/>
      <c r="G48" s="66">
        <f>G25+G32+G39+G46</f>
        <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0FBD-8933-4748-92DE-61DA2856AB7D}">
  <sheetPr codeName="Hoja29">
    <tabColor theme="4" tint="0.59999389629810485"/>
    <pageSetUpPr fitToPage="1"/>
  </sheetPr>
  <dimension ref="A1:H39"/>
  <sheetViews>
    <sheetView showGridLines="0" view="pageBreakPreview" zoomScale="80" zoomScaleNormal="120" zoomScaleSheetLayoutView="80" workbookViewId="0">
      <selection activeCell="A4" sqref="A4:A40"/>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8"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8" ht="12.75" customHeight="1">
      <c r="B3" s="30" t="s">
        <v>651</v>
      </c>
      <c r="C3" s="31" t="str">
        <f>+'PRES MR 5 KW'!A6</f>
        <v>3.1.1</v>
      </c>
      <c r="D3" s="31"/>
      <c r="E3" s="31"/>
      <c r="F3" s="31"/>
      <c r="G3" s="32" t="s">
        <v>652</v>
      </c>
    </row>
    <row r="4" spans="1:8" ht="99.65" customHeight="1">
      <c r="B4" s="649" t="str">
        <f>+'PRES MR 5 KW'!B6</f>
        <v>Suministro, transporte e instalación de Panel Solar de 670 W Mono PERC (1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v>
      </c>
      <c r="C4" s="655"/>
      <c r="D4" s="655"/>
      <c r="E4" s="656"/>
      <c r="G4" s="33" t="str">
        <f>+'PRES MR 5 KW'!C6</f>
        <v>UN</v>
      </c>
    </row>
    <row r="5" spans="1:8" ht="13">
      <c r="B5" s="34"/>
      <c r="G5" s="35"/>
    </row>
    <row r="6" spans="1:8" ht="13">
      <c r="B6" s="36" t="s">
        <v>653</v>
      </c>
    </row>
    <row r="7" spans="1:8" ht="13">
      <c r="A7" s="88" t="s">
        <v>138</v>
      </c>
      <c r="B7" s="37" t="s">
        <v>19</v>
      </c>
      <c r="C7" s="38" t="s">
        <v>284</v>
      </c>
      <c r="D7" s="38" t="s">
        <v>48</v>
      </c>
      <c r="E7" s="38" t="s">
        <v>410</v>
      </c>
      <c r="F7" s="38" t="s">
        <v>285</v>
      </c>
      <c r="G7" s="38" t="s">
        <v>286</v>
      </c>
    </row>
    <row r="8" spans="1:8" ht="25">
      <c r="A8" s="89">
        <v>361</v>
      </c>
      <c r="B8" s="69" t="str">
        <f>VLOOKUP(A8,Materiales3[],3,FALSE)</f>
        <v>Módulo solar fotovoltaico monocristalino tipo PERC "Half Cell" TIER 1 de 670 Wp</v>
      </c>
      <c r="C8" s="40" t="str">
        <f>VLOOKUP(A8,Materiales3[],4,FALSE)</f>
        <v>UN</v>
      </c>
      <c r="D8" s="41">
        <v>1</v>
      </c>
      <c r="E8" s="40">
        <f>VLOOKUP(A8,Materiales3[],5,FALSE)*D8</f>
        <v>38.5</v>
      </c>
      <c r="F8" s="42">
        <f>VLOOKUP(A8,Materiales3[],6,FALSE)</f>
        <v>0</v>
      </c>
      <c r="G8" s="42">
        <f>D8*F8</f>
        <v>0</v>
      </c>
    </row>
    <row r="9" spans="1:8" ht="14.5">
      <c r="A9" s="4">
        <v>3</v>
      </c>
      <c r="B9" s="69" t="str">
        <f>VLOOKUP(A9,Materiales3[],3,FALSE)</f>
        <v>Conector MC4 (Macho o Hembra)</v>
      </c>
      <c r="C9" s="40" t="str">
        <f>VLOOKUP(A9,Materiales3[],4,FALSE)</f>
        <v>UN</v>
      </c>
      <c r="D9" s="41">
        <v>2</v>
      </c>
      <c r="E9" s="40">
        <f>VLOOKUP(A9,Materiales3[],5,FALSE)*D9</f>
        <v>0.2</v>
      </c>
      <c r="F9" s="42">
        <f>VLOOKUP(A9,Materiales3[],6,FALSE)</f>
        <v>0</v>
      </c>
      <c r="G9" s="42">
        <f t="shared" ref="G9:G15" si="0">D9*F9</f>
        <v>0</v>
      </c>
    </row>
    <row r="10" spans="1:8" ht="14.5">
      <c r="A10" s="4">
        <v>397</v>
      </c>
      <c r="B10" s="69" t="str">
        <f>VLOOKUP(A10,Materiales3[],3,FALSE)</f>
        <v>caja de conexión IP 68</v>
      </c>
      <c r="C10" s="40" t="str">
        <f>VLOOKUP(A10,Materiales3[],4,FALSE)</f>
        <v>UN</v>
      </c>
      <c r="D10" s="72">
        <f>1/9</f>
        <v>0.1111111111111111</v>
      </c>
      <c r="E10" s="40">
        <f>VLOOKUP(A10,Materiales3[],5,FALSE)*D10</f>
        <v>5.5555555555555552E-2</v>
      </c>
      <c r="F10" s="42">
        <f>VLOOKUP(A10,Materiales3[],6,FALSE)</f>
        <v>0</v>
      </c>
      <c r="G10" s="42">
        <f t="shared" si="0"/>
        <v>0</v>
      </c>
    </row>
    <row r="11" spans="1:8" ht="14.5">
      <c r="A11" s="4">
        <v>24</v>
      </c>
      <c r="B11" s="69" t="str">
        <f>VLOOKUP(A11,Materiales3[],3,FALSE)</f>
        <v>Borna para ponchar varios calibres y terminales</v>
      </c>
      <c r="C11" s="40" t="str">
        <f>VLOOKUP(A11,Materiales3[],4,FALSE)</f>
        <v>UN</v>
      </c>
      <c r="D11" s="72">
        <f>1/9</f>
        <v>0.1111111111111111</v>
      </c>
      <c r="E11" s="40">
        <f>VLOOKUP(A11,Materiales3[],5,FALSE)*D11</f>
        <v>8.8888888888888882E-4</v>
      </c>
      <c r="F11" s="42">
        <f>VLOOKUP(A11,Materiales3[],6,FALSE)</f>
        <v>0</v>
      </c>
      <c r="G11" s="42">
        <f t="shared" si="0"/>
        <v>0</v>
      </c>
    </row>
    <row r="12" spans="1:8" ht="14.5">
      <c r="A12" s="4">
        <v>135</v>
      </c>
      <c r="B12" s="69" t="str">
        <f>VLOOKUP(A12,Materiales3[],3,FALSE)</f>
        <v>Barra bornera tierra con soporte plástico riel din de 10 cm</v>
      </c>
      <c r="C12" s="40" t="str">
        <f>VLOOKUP(A12,Materiales3[],4,FALSE)</f>
        <v>UN</v>
      </c>
      <c r="D12" s="72">
        <f>1/9</f>
        <v>0.1111111111111111</v>
      </c>
      <c r="E12" s="40">
        <f>VLOOKUP(A12,Materiales3[],5,FALSE)*D12</f>
        <v>5.5555555555555552E-2</v>
      </c>
      <c r="F12" s="42">
        <f>VLOOKUP(A12,Materiales3[],6,FALSE)</f>
        <v>0</v>
      </c>
      <c r="G12" s="42">
        <f t="shared" ref="G12" si="1">D12*F12</f>
        <v>0</v>
      </c>
    </row>
    <row r="13" spans="1:8" ht="14.5">
      <c r="A13" s="4">
        <v>132</v>
      </c>
      <c r="B13" s="69" t="str">
        <f>VLOOKUP(A13,Materiales3[],3,FALSE)&amp;" Verde"</f>
        <v>Cable Cu THHN 10 AWG Verde</v>
      </c>
      <c r="C13" s="40" t="str">
        <f>VLOOKUP(A13,Materiales3[],4,FALSE)</f>
        <v>ML</v>
      </c>
      <c r="D13" s="72">
        <f>1*1.05</f>
        <v>1.05</v>
      </c>
      <c r="E13" s="40">
        <f>VLOOKUP(A13,Materiales3[],5,FALSE)*D13</f>
        <v>6.1950000000000005E-2</v>
      </c>
      <c r="F13" s="42">
        <f>VLOOKUP(A13,Materiales3[],6,FALSE)</f>
        <v>0</v>
      </c>
      <c r="G13" s="42">
        <f t="shared" si="0"/>
        <v>0</v>
      </c>
      <c r="H13" s="29" t="s">
        <v>672</v>
      </c>
    </row>
    <row r="14" spans="1:8" ht="14.5">
      <c r="A14" s="4">
        <v>241</v>
      </c>
      <c r="B14" s="69" t="str">
        <f>VLOOKUP(A14,Materiales3[],3,FALSE)&amp;" Verde"</f>
        <v>Cable Cu THHN 6 AWG Verde</v>
      </c>
      <c r="C14" s="40" t="str">
        <f>VLOOKUP(A14,Materiales3[],4,FALSE)</f>
        <v>ML</v>
      </c>
      <c r="D14" s="72">
        <f>(1.5/7)*1.05</f>
        <v>0.22500000000000001</v>
      </c>
      <c r="E14" s="40">
        <f>VLOOKUP(A14,Materiales3[],5,FALSE)*D14</f>
        <v>3.78E-2</v>
      </c>
      <c r="F14" s="42">
        <f>VLOOKUP(A14,Materiales3[],6,FALSE)</f>
        <v>0</v>
      </c>
      <c r="G14" s="42">
        <f t="shared" ref="G14" si="2">D14*F14</f>
        <v>0</v>
      </c>
      <c r="H14" s="29" t="s">
        <v>673</v>
      </c>
    </row>
    <row r="15" spans="1:8" ht="14.5">
      <c r="A15" s="4">
        <v>234</v>
      </c>
      <c r="B15" s="69" t="str">
        <f>VLOOKUP(A15,Materiales3[],3,FALSE)</f>
        <v>Cable Cu solar XLPE 6mm 1kV 120 °C</v>
      </c>
      <c r="C15" s="40" t="str">
        <f>VLOOKUP(A15,Materiales3[],4,FALSE)</f>
        <v>ML</v>
      </c>
      <c r="D15" s="72">
        <f>1.2*1.05*2</f>
        <v>2.52</v>
      </c>
      <c r="E15" s="40">
        <f>VLOOKUP(A15,Materiales3[],5,FALSE)*D15</f>
        <v>0.16430399999999998</v>
      </c>
      <c r="F15" s="42">
        <f>VLOOKUP(A15,Materiales3[],6,FALSE)</f>
        <v>0</v>
      </c>
      <c r="G15" s="42">
        <f t="shared" si="0"/>
        <v>0</v>
      </c>
    </row>
    <row r="16" spans="1:8" ht="13">
      <c r="D16" s="47"/>
      <c r="E16" s="47"/>
      <c r="F16" s="48" t="s">
        <v>654</v>
      </c>
      <c r="G16" s="49">
        <f>SUM(G8:G15)</f>
        <v>0</v>
      </c>
    </row>
    <row r="17" spans="1:7">
      <c r="G17" s="73"/>
    </row>
    <row r="18" spans="1:7" ht="13">
      <c r="B18" s="50" t="s">
        <v>655</v>
      </c>
      <c r="G18" s="74"/>
    </row>
    <row r="19" spans="1:7" ht="13">
      <c r="A19" s="88" t="s">
        <v>138</v>
      </c>
      <c r="B19" s="37" t="s">
        <v>19</v>
      </c>
      <c r="C19" s="38" t="s">
        <v>665</v>
      </c>
      <c r="D19" s="38" t="s">
        <v>656</v>
      </c>
      <c r="E19" s="38"/>
      <c r="F19" s="38" t="s">
        <v>21</v>
      </c>
      <c r="G19" s="38" t="s">
        <v>286</v>
      </c>
    </row>
    <row r="20" spans="1:7" ht="14.5">
      <c r="A20" s="89">
        <v>1</v>
      </c>
      <c r="B20" s="43" t="str">
        <f>VLOOKUP(A20,Equipoyherramienta[],2,FALSE)</f>
        <v>Herramienta menor</v>
      </c>
      <c r="C20" s="44" t="str">
        <f>VLOOKUP(A20,Equipoyherramienta[],3,FALSE)</f>
        <v>UN</v>
      </c>
      <c r="D20" s="51">
        <f>VLOOKUP(A20,Equipoyherramienta[],4,FALSE)</f>
        <v>0</v>
      </c>
      <c r="E20" s="51"/>
      <c r="F20" s="71">
        <f>+RENDIMIENTOS!$C$15</f>
        <v>9</v>
      </c>
      <c r="G20" s="51">
        <f>ROUND(D20/F20,0)</f>
        <v>0</v>
      </c>
    </row>
    <row r="21" spans="1:7">
      <c r="B21" s="43"/>
      <c r="C21" s="44"/>
      <c r="D21" s="46"/>
      <c r="E21" s="46"/>
      <c r="F21" s="52"/>
      <c r="G21" s="53"/>
    </row>
    <row r="22" spans="1:7">
      <c r="B22" s="43"/>
      <c r="C22" s="44"/>
      <c r="D22" s="46"/>
      <c r="E22" s="46"/>
      <c r="F22" s="52"/>
      <c r="G22" s="53"/>
    </row>
    <row r="23" spans="1:7" ht="13">
      <c r="D23" s="47"/>
      <c r="E23" s="47"/>
      <c r="F23" s="48" t="s">
        <v>654</v>
      </c>
      <c r="G23" s="49">
        <f>SUM(G20:G22)</f>
        <v>0</v>
      </c>
    </row>
    <row r="24" spans="1:7" ht="13">
      <c r="D24" s="47"/>
      <c r="E24" s="47"/>
      <c r="F24" s="47"/>
      <c r="G24" s="54"/>
    </row>
    <row r="25" spans="1:7" ht="13">
      <c r="B25" s="36" t="s">
        <v>657</v>
      </c>
      <c r="G25" s="55"/>
    </row>
    <row r="26" spans="1:7" ht="13">
      <c r="A26" s="88" t="s">
        <v>138</v>
      </c>
      <c r="B26" s="37" t="s">
        <v>19</v>
      </c>
      <c r="C26" s="38" t="s">
        <v>284</v>
      </c>
      <c r="D26" s="38" t="s">
        <v>410</v>
      </c>
      <c r="E26" s="38"/>
      <c r="F26" s="38" t="s">
        <v>666</v>
      </c>
      <c r="G26" s="56" t="s">
        <v>286</v>
      </c>
    </row>
    <row r="27" spans="1:7" ht="50">
      <c r="A27" s="89">
        <v>6</v>
      </c>
      <c r="B27" s="57" t="str">
        <f>VLOOKUP(A27,Transp.[],2,FALSE)</f>
        <v>Carga terrestre desde Barranquilla hasta Usuario, incluye cargues, descargues, cruces de río, transporte semoviente, transporte en vehículo de carga pesada y cualquier otro tranposte.</v>
      </c>
      <c r="C27" s="40" t="s">
        <v>667</v>
      </c>
      <c r="D27" s="41">
        <f>SUM(E8:E15)</f>
        <v>39.076054000000006</v>
      </c>
      <c r="E27" s="41"/>
      <c r="F27" s="59">
        <f>VLOOKUP(A27,Transp.[],6,FALSE)</f>
        <v>0</v>
      </c>
      <c r="G27" s="59">
        <f>D27*F27</f>
        <v>0</v>
      </c>
    </row>
    <row r="28" spans="1:7" ht="13.15" customHeight="1">
      <c r="A28" s="89"/>
      <c r="B28" s="57"/>
      <c r="C28" s="40"/>
      <c r="D28" s="41"/>
      <c r="E28" s="41"/>
      <c r="F28" s="59"/>
      <c r="G28" s="59"/>
    </row>
    <row r="29" spans="1:7" ht="13.15" customHeight="1">
      <c r="A29" s="89"/>
      <c r="B29" s="57"/>
      <c r="C29" s="40"/>
      <c r="D29" s="41"/>
      <c r="E29" s="41"/>
      <c r="F29" s="59"/>
      <c r="G29" s="59"/>
    </row>
    <row r="30" spans="1:7" ht="13">
      <c r="D30" s="47"/>
      <c r="E30" s="47"/>
      <c r="F30" s="61" t="s">
        <v>654</v>
      </c>
      <c r="G30" s="49">
        <f>SUM(G27:G29)</f>
        <v>0</v>
      </c>
    </row>
    <row r="32" spans="1:7" ht="13">
      <c r="B32" s="36" t="s">
        <v>661</v>
      </c>
      <c r="D32" s="62"/>
      <c r="E32" s="62"/>
      <c r="F32" s="63"/>
      <c r="G32" s="55"/>
    </row>
    <row r="33" spans="1:7" s="47" customFormat="1" ht="13">
      <c r="A33" s="88" t="s">
        <v>138</v>
      </c>
      <c r="B33" s="38" t="s">
        <v>19</v>
      </c>
      <c r="C33" s="38" t="s">
        <v>662</v>
      </c>
      <c r="D33" s="38" t="s">
        <v>663</v>
      </c>
      <c r="E33" s="38"/>
      <c r="F33" s="38" t="s">
        <v>21</v>
      </c>
      <c r="G33" s="56" t="s">
        <v>286</v>
      </c>
    </row>
    <row r="34" spans="1:7" ht="14.5">
      <c r="A34" s="89">
        <v>1</v>
      </c>
      <c r="B34" s="64" t="str">
        <f>VLOOKUP(A34,ManoObra[],2,FALSE)</f>
        <v>Electricista</v>
      </c>
      <c r="C34" s="65">
        <f>VLOOKUP(A34,ManoObra[],8,FALSE)</f>
        <v>0</v>
      </c>
      <c r="D34" s="52">
        <f>+FP!E27</f>
        <v>0</v>
      </c>
      <c r="E34" s="52"/>
      <c r="F34" s="71">
        <f>F20</f>
        <v>9</v>
      </c>
      <c r="G34" s="51">
        <f>ROUND(C34*D34/F34,0)</f>
        <v>0</v>
      </c>
    </row>
    <row r="35" spans="1:7" ht="14.5">
      <c r="A35" s="89">
        <v>2</v>
      </c>
      <c r="B35" s="64" t="str">
        <f>VLOOKUP(A35,ManoObra[],2,FALSE)</f>
        <v>Ayudante</v>
      </c>
      <c r="C35" s="65">
        <f>VLOOKUP(A35,ManoObra[],8,FALSE)</f>
        <v>0</v>
      </c>
      <c r="D35" s="52">
        <f>+FP!E27</f>
        <v>0</v>
      </c>
      <c r="E35" s="52"/>
      <c r="F35" s="71">
        <f>F20</f>
        <v>9</v>
      </c>
      <c r="G35" s="51">
        <f>ROUND(C35*D35/F35,0)</f>
        <v>0</v>
      </c>
    </row>
    <row r="36" spans="1:7" ht="14.5">
      <c r="A36" s="89"/>
      <c r="B36" s="70"/>
      <c r="C36" s="65"/>
      <c r="D36" s="52"/>
      <c r="E36" s="52"/>
      <c r="F36" s="45"/>
      <c r="G36" s="51"/>
    </row>
    <row r="37" spans="1:7" ht="13">
      <c r="D37" s="47"/>
      <c r="E37" s="47"/>
      <c r="F37" s="61" t="s">
        <v>654</v>
      </c>
      <c r="G37" s="75">
        <f>SUM(G34:G36)</f>
        <v>0</v>
      </c>
    </row>
    <row r="38" spans="1:7" ht="13">
      <c r="D38" s="47"/>
      <c r="E38" s="47"/>
      <c r="G38" s="55"/>
    </row>
    <row r="39" spans="1:7" ht="12.75" customHeight="1">
      <c r="B39" s="47"/>
      <c r="D39" s="652" t="s">
        <v>664</v>
      </c>
      <c r="E39" s="654"/>
      <c r="F39" s="653"/>
      <c r="G39" s="66">
        <f>G16+G23+G30+G37</f>
        <v>0</v>
      </c>
    </row>
  </sheetData>
  <mergeCells count="3">
    <mergeCell ref="B1:G1"/>
    <mergeCell ref="B4:E4"/>
    <mergeCell ref="D39:F39"/>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B149-98DE-4CD3-AE79-9A5615F219F8}">
  <sheetPr codeName="Hoja30">
    <tabColor theme="4" tint="0.59999389629810485"/>
    <pageSetUpPr fitToPage="1"/>
  </sheetPr>
  <dimension ref="A1:G39"/>
  <sheetViews>
    <sheetView showGridLines="0" view="pageBreakPreview" zoomScale="80" zoomScaleNormal="120" zoomScaleSheetLayoutView="80" workbookViewId="0">
      <selection activeCell="A4" sqref="A4:A38"/>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KW'!A7</f>
        <v>3.1.2</v>
      </c>
      <c r="D3" s="31"/>
      <c r="E3" s="31"/>
      <c r="F3" s="31"/>
      <c r="G3" s="32" t="s">
        <v>652</v>
      </c>
    </row>
    <row r="4" spans="1:7" ht="99.65" customHeight="1">
      <c r="B4" s="649" t="str">
        <f>+'PRES MR 5 KW'!B7</f>
        <v>Suministro, Transporte e instalacion de acometida solar eléctrica para 4 lazos Fotovoltaicos subterránea desde los módulos solares hasta el gabinete de diseño especial. Incluye: Hasta 32 m de tubería PVC de 3/4" subterránea, hasta 18,8 m de tubería IMC de 3/4" a la vista, hasta 18 m de tubería pvc sch 40 de 1/2" para tierra, incluye todos los accesorrios de las diferentes tipo de tuberia y hasta 67,2 m de cable 10 AWG Cu XLPE, 33,6 m de cable able 10 AWG Cu XLPE Verde y accesorios de conexión.</v>
      </c>
      <c r="C4" s="655"/>
      <c r="D4" s="655"/>
      <c r="E4" s="656"/>
      <c r="G4" s="33" t="str">
        <f>+'PRES MR 5 KW'!C7</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111</v>
      </c>
      <c r="B8" s="69" t="str">
        <f>VLOOKUP(A8,Materiales3[],3,FALSE)</f>
        <v>Cinta roja</v>
      </c>
      <c r="C8" s="40" t="str">
        <f>VLOOKUP(A8,Materiales3[],4,FALSE)</f>
        <v>ML</v>
      </c>
      <c r="D8" s="72">
        <f>4.5</f>
        <v>4.5</v>
      </c>
      <c r="E8" s="40">
        <f>VLOOKUP(A8,Materiales3[],5,FALSE)*D8</f>
        <v>4.4999999999999998E-2</v>
      </c>
      <c r="F8" s="42">
        <f>VLOOKUP(A8,Materiales3[],6,FALSE)</f>
        <v>0</v>
      </c>
      <c r="G8" s="42">
        <f>D8*F8</f>
        <v>0</v>
      </c>
    </row>
    <row r="9" spans="1:7" ht="14.5">
      <c r="A9" s="4">
        <v>83</v>
      </c>
      <c r="B9" s="69" t="str">
        <f>VLOOKUP(A9,Materiales3[],3,FALSE)</f>
        <v>Tuberia conduit PVC tipo A 3/4"</v>
      </c>
      <c r="C9" s="40" t="str">
        <f>VLOOKUP(A9,Materiales3[],4,FALSE)</f>
        <v>ML</v>
      </c>
      <c r="D9" s="72">
        <f>8*4</f>
        <v>32</v>
      </c>
      <c r="E9" s="40">
        <f>VLOOKUP(A9,Materiales3[],5,FALSE)*D9</f>
        <v>6.1866666666666665</v>
      </c>
      <c r="F9" s="42">
        <f>VLOOKUP(A9,Materiales3[],6,FALSE)</f>
        <v>0</v>
      </c>
      <c r="G9" s="42">
        <f t="shared" ref="G9:G15" si="0">D9*F9</f>
        <v>0</v>
      </c>
    </row>
    <row r="10" spans="1:7" ht="14.5">
      <c r="A10" s="4">
        <v>133</v>
      </c>
      <c r="B10" s="69" t="str">
        <f>VLOOKUP(A10,Materiales3[],3,FALSE)</f>
        <v>Uniones, curvas y terminales IMC. Varios calibres</v>
      </c>
      <c r="C10" s="40" t="str">
        <f>VLOOKUP(A10,Materiales3[],4,FALSE)</f>
        <v>UN</v>
      </c>
      <c r="D10" s="72">
        <f>4*4</f>
        <v>16</v>
      </c>
      <c r="E10" s="40">
        <f>VLOOKUP(A10,Materiales3[],5,FALSE)*D10</f>
        <v>2.88</v>
      </c>
      <c r="F10" s="42">
        <f>VLOOKUP(A10,Materiales3[],6,FALSE)</f>
        <v>0</v>
      </c>
      <c r="G10" s="42">
        <f t="shared" si="0"/>
        <v>0</v>
      </c>
    </row>
    <row r="11" spans="1:7" ht="14.5">
      <c r="A11" s="4">
        <v>134</v>
      </c>
      <c r="B11" s="69" t="str">
        <f>VLOOKUP(A11,Materiales3[],3,FALSE)</f>
        <v>Tuberia conduit IMC 3/4"</v>
      </c>
      <c r="C11" s="40" t="str">
        <f>VLOOKUP(A11,Materiales3[],4,FALSE)</f>
        <v>ML</v>
      </c>
      <c r="D11" s="72">
        <f>(4.5+0.2)*4</f>
        <v>18.8</v>
      </c>
      <c r="E11" s="40">
        <f>VLOOKUP(A11,Materiales3[],5,FALSE)*D11</f>
        <v>32.398666666666671</v>
      </c>
      <c r="F11" s="42">
        <f>VLOOKUP(A11,Materiales3[],6,FALSE)</f>
        <v>0</v>
      </c>
      <c r="G11" s="42">
        <f t="shared" si="0"/>
        <v>0</v>
      </c>
    </row>
    <row r="12" spans="1:7" ht="14.5">
      <c r="A12" s="4">
        <v>411</v>
      </c>
      <c r="B12" s="69" t="str">
        <f>VLOOKUP(A12,Materiales3[],3,FALSE)</f>
        <v>Curva 90 x 3/4 pulgada conduit PVC</v>
      </c>
      <c r="C12" s="40" t="str">
        <f>VLOOKUP(A12,Materiales3[],4,FALSE)</f>
        <v>UN</v>
      </c>
      <c r="D12" s="72">
        <f>2*4</f>
        <v>8</v>
      </c>
      <c r="E12" s="40">
        <f>VLOOKUP(A12,Materiales3[],5,FALSE)*D12</f>
        <v>0.24</v>
      </c>
      <c r="F12" s="42">
        <f>VLOOKUP(A12,Materiales3[],6,FALSE)</f>
        <v>0</v>
      </c>
      <c r="G12" s="42">
        <f t="shared" si="0"/>
        <v>0</v>
      </c>
    </row>
    <row r="13" spans="1:7" ht="14.5">
      <c r="A13" s="4">
        <v>44</v>
      </c>
      <c r="B13" s="69" t="str">
        <f>VLOOKUP(A13,Materiales3[],3,FALSE)</f>
        <v>Tuberia conduit PVC SCH 40 1/2"</v>
      </c>
      <c r="C13" s="40" t="str">
        <f>VLOOKUP(A13,Materiales3[],4,FALSE)</f>
        <v>ML</v>
      </c>
      <c r="D13" s="72">
        <f>(4.5)*4</f>
        <v>18</v>
      </c>
      <c r="E13" s="40">
        <f>VLOOKUP(A13,Materiales3[],5,FALSE)*D13</f>
        <v>4.74</v>
      </c>
      <c r="F13" s="42">
        <f>VLOOKUP(A13,Materiales3[],6,FALSE)</f>
        <v>0</v>
      </c>
      <c r="G13" s="42">
        <f t="shared" ref="G13" si="1">D13*F13</f>
        <v>0</v>
      </c>
    </row>
    <row r="14" spans="1:7" ht="14.5">
      <c r="A14" s="89">
        <v>234</v>
      </c>
      <c r="B14" s="69" t="str">
        <f>VLOOKUP(A14,Materiales3[],3,FALSE)</f>
        <v>Cable Cu solar XLPE 6mm 1kV 120 °C</v>
      </c>
      <c r="C14" s="40" t="str">
        <f>VLOOKUP(A14,Materiales3[],4,FALSE)</f>
        <v>ML</v>
      </c>
      <c r="D14" s="72">
        <f>8*2*4*1.05</f>
        <v>67.2</v>
      </c>
      <c r="E14" s="40">
        <f>VLOOKUP(A14,Materiales3[],5,FALSE)*D14</f>
        <v>4.3814399999999996</v>
      </c>
      <c r="F14" s="42">
        <f>VLOOKUP(A14,Materiales3[],6,FALSE)</f>
        <v>0</v>
      </c>
      <c r="G14" s="42">
        <f t="shared" si="0"/>
        <v>0</v>
      </c>
    </row>
    <row r="15" spans="1:7" ht="14.5">
      <c r="A15" s="4">
        <v>234</v>
      </c>
      <c r="B15" s="69" t="str">
        <f>VLOOKUP(A15,Materiales3[],3,FALSE)</f>
        <v>Cable Cu solar XLPE 6mm 1kV 120 °C</v>
      </c>
      <c r="C15" s="40" t="str">
        <f>VLOOKUP(A15,Materiales3[],4,FALSE)</f>
        <v>ML</v>
      </c>
      <c r="D15" s="72">
        <f>8*1*4*1.05</f>
        <v>33.6</v>
      </c>
      <c r="E15" s="40">
        <f>VLOOKUP(A15,Materiales3[],5,FALSE)*D15</f>
        <v>2.1907199999999998</v>
      </c>
      <c r="F15" s="42">
        <f>VLOOKUP(A15,Materiales3[],6,FALSE)</f>
        <v>0</v>
      </c>
      <c r="G15" s="42">
        <f t="shared" si="0"/>
        <v>0</v>
      </c>
    </row>
    <row r="16" spans="1:7" ht="13">
      <c r="D16" s="47"/>
      <c r="E16" s="47"/>
      <c r="F16" s="48" t="s">
        <v>654</v>
      </c>
      <c r="G16" s="49">
        <f>SUM(G8:G15)</f>
        <v>0</v>
      </c>
    </row>
    <row r="17" spans="1:7">
      <c r="G17" s="73"/>
    </row>
    <row r="18" spans="1:7" ht="13">
      <c r="B18" s="50" t="s">
        <v>655</v>
      </c>
      <c r="G18" s="74"/>
    </row>
    <row r="19" spans="1:7" ht="13">
      <c r="A19" s="88" t="s">
        <v>138</v>
      </c>
      <c r="B19" s="37" t="s">
        <v>19</v>
      </c>
      <c r="C19" s="38" t="s">
        <v>665</v>
      </c>
      <c r="D19" s="38" t="s">
        <v>656</v>
      </c>
      <c r="E19" s="38"/>
      <c r="F19" s="38" t="s">
        <v>21</v>
      </c>
      <c r="G19" s="38" t="s">
        <v>286</v>
      </c>
    </row>
    <row r="20" spans="1:7" ht="14.5">
      <c r="A20" s="89">
        <v>1</v>
      </c>
      <c r="B20" s="43" t="str">
        <f>VLOOKUP(A20,Equipoyherramienta[],2,FALSE)</f>
        <v>Herramienta menor</v>
      </c>
      <c r="C20" s="44" t="str">
        <f>VLOOKUP(A20,Equipoyherramienta[],3,FALSE)</f>
        <v>UN</v>
      </c>
      <c r="D20" s="51">
        <f>VLOOKUP(A20,Equipoyherramienta[],4,FALSE)</f>
        <v>0</v>
      </c>
      <c r="E20" s="51"/>
      <c r="F20" s="71">
        <f>+RENDIMIENTOS!C44</f>
        <v>4</v>
      </c>
      <c r="G20" s="51">
        <f>ROUND(D20/F20,0)</f>
        <v>0</v>
      </c>
    </row>
    <row r="21" spans="1:7">
      <c r="B21" s="43"/>
      <c r="C21" s="44"/>
      <c r="D21" s="46"/>
      <c r="E21" s="46"/>
      <c r="F21" s="52"/>
      <c r="G21" s="53"/>
    </row>
    <row r="22" spans="1:7">
      <c r="B22" s="43"/>
      <c r="C22" s="44"/>
      <c r="D22" s="46"/>
      <c r="E22" s="46"/>
      <c r="F22" s="52"/>
      <c r="G22" s="53"/>
    </row>
    <row r="23" spans="1:7" ht="13">
      <c r="D23" s="47"/>
      <c r="E23" s="47"/>
      <c r="F23" s="48" t="s">
        <v>654</v>
      </c>
      <c r="G23" s="49">
        <f>SUM(G20:G22)</f>
        <v>0</v>
      </c>
    </row>
    <row r="24" spans="1:7" ht="13">
      <c r="D24" s="47"/>
      <c r="E24" s="47"/>
      <c r="F24" s="47"/>
      <c r="G24" s="54"/>
    </row>
    <row r="25" spans="1:7" ht="13">
      <c r="B25" s="36" t="s">
        <v>657</v>
      </c>
      <c r="G25" s="55"/>
    </row>
    <row r="26" spans="1:7" ht="13">
      <c r="A26" s="88" t="s">
        <v>138</v>
      </c>
      <c r="B26" s="37" t="s">
        <v>19</v>
      </c>
      <c r="C26" s="38" t="s">
        <v>284</v>
      </c>
      <c r="D26" s="38" t="s">
        <v>410</v>
      </c>
      <c r="E26" s="38"/>
      <c r="F26" s="38" t="s">
        <v>666</v>
      </c>
      <c r="G26" s="56" t="s">
        <v>286</v>
      </c>
    </row>
    <row r="27" spans="1:7" ht="50">
      <c r="A27" s="89">
        <v>6</v>
      </c>
      <c r="B27" s="57" t="str">
        <f>VLOOKUP(A27,Transp.[],2,FALSE)</f>
        <v>Carga terrestre desde Barranquilla hasta Usuario, incluye cargues, descargues, cruces de río, transporte semoviente, transporte en vehículo de carga pesada y cualquier otro tranposte.</v>
      </c>
      <c r="C27" s="40" t="s">
        <v>667</v>
      </c>
      <c r="D27" s="41">
        <f>SUM(E8:E15)</f>
        <v>53.062493333333336</v>
      </c>
      <c r="E27" s="41"/>
      <c r="F27" s="59">
        <f>VLOOKUP(A27,Transp.[],6,FALSE)</f>
        <v>0</v>
      </c>
      <c r="G27" s="59">
        <f>D27*F27</f>
        <v>0</v>
      </c>
    </row>
    <row r="28" spans="1:7" ht="13.15" customHeight="1">
      <c r="A28" s="89"/>
      <c r="B28" s="57"/>
      <c r="C28" s="40"/>
      <c r="D28" s="41"/>
      <c r="E28" s="41"/>
      <c r="F28" s="59"/>
      <c r="G28" s="59"/>
    </row>
    <row r="29" spans="1:7" ht="13.15" customHeight="1">
      <c r="A29" s="89"/>
      <c r="B29" s="57"/>
      <c r="C29" s="40"/>
      <c r="D29" s="41"/>
      <c r="E29" s="41"/>
      <c r="F29" s="59"/>
      <c r="G29" s="59"/>
    </row>
    <row r="30" spans="1:7" ht="13">
      <c r="D30" s="47"/>
      <c r="E30" s="47"/>
      <c r="F30" s="61" t="s">
        <v>654</v>
      </c>
      <c r="G30" s="49">
        <f>SUM(G27:G29)</f>
        <v>0</v>
      </c>
    </row>
    <row r="32" spans="1:7" ht="13">
      <c r="B32" s="36" t="s">
        <v>661</v>
      </c>
      <c r="D32" s="62"/>
      <c r="E32" s="62"/>
      <c r="F32" s="63"/>
      <c r="G32" s="55"/>
    </row>
    <row r="33" spans="1:7" s="47" customFormat="1" ht="13">
      <c r="A33" s="88" t="s">
        <v>138</v>
      </c>
      <c r="B33" s="38" t="s">
        <v>19</v>
      </c>
      <c r="C33" s="38" t="s">
        <v>662</v>
      </c>
      <c r="D33" s="38" t="s">
        <v>663</v>
      </c>
      <c r="E33" s="38"/>
      <c r="F33" s="38" t="s">
        <v>21</v>
      </c>
      <c r="G33" s="56" t="s">
        <v>286</v>
      </c>
    </row>
    <row r="34" spans="1:7" ht="14.5">
      <c r="A34" s="89">
        <v>1</v>
      </c>
      <c r="B34" s="64" t="str">
        <f>VLOOKUP(A34,ManoObra[],2,FALSE)</f>
        <v>Electricista</v>
      </c>
      <c r="C34" s="65">
        <f>VLOOKUP(A34,ManoObra[],8,FALSE)</f>
        <v>0</v>
      </c>
      <c r="D34" s="52">
        <f>+FP!E27</f>
        <v>0</v>
      </c>
      <c r="E34" s="52"/>
      <c r="F34" s="71">
        <f>F20</f>
        <v>4</v>
      </c>
      <c r="G34" s="51">
        <f>ROUND(C34*D34/F34,0)</f>
        <v>0</v>
      </c>
    </row>
    <row r="35" spans="1:7" ht="14.5">
      <c r="A35" s="89">
        <v>2</v>
      </c>
      <c r="B35" s="64" t="str">
        <f>VLOOKUP(A35,ManoObra[],2,FALSE)</f>
        <v>Ayudante</v>
      </c>
      <c r="C35" s="65">
        <f>VLOOKUP(A35,ManoObra[],8,FALSE)</f>
        <v>0</v>
      </c>
      <c r="D35" s="52">
        <f>+FP!E27</f>
        <v>0</v>
      </c>
      <c r="E35" s="52"/>
      <c r="F35" s="71">
        <f>F20</f>
        <v>4</v>
      </c>
      <c r="G35" s="51">
        <f>ROUND(C35*D35/F35,0)</f>
        <v>0</v>
      </c>
    </row>
    <row r="36" spans="1:7" ht="14.5">
      <c r="A36" s="89"/>
      <c r="B36" s="70"/>
      <c r="C36" s="65"/>
      <c r="D36" s="52"/>
      <c r="E36" s="52"/>
      <c r="F36" s="45"/>
      <c r="G36" s="51"/>
    </row>
    <row r="37" spans="1:7" ht="13">
      <c r="D37" s="47"/>
      <c r="E37" s="47"/>
      <c r="F37" s="61" t="s">
        <v>654</v>
      </c>
      <c r="G37" s="75">
        <f>SUM(G34:G36)</f>
        <v>0</v>
      </c>
    </row>
    <row r="38" spans="1:7" ht="13">
      <c r="D38" s="47"/>
      <c r="E38" s="47"/>
      <c r="G38" s="55"/>
    </row>
    <row r="39" spans="1:7" ht="12.75" customHeight="1">
      <c r="B39" s="47"/>
      <c r="D39" s="652" t="s">
        <v>664</v>
      </c>
      <c r="E39" s="654"/>
      <c r="F39" s="653"/>
      <c r="G39" s="66">
        <f>G16+G23+G30+G37</f>
        <v>0</v>
      </c>
    </row>
  </sheetData>
  <mergeCells count="3">
    <mergeCell ref="B1:G1"/>
    <mergeCell ref="B4:E4"/>
    <mergeCell ref="D39:F39"/>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714B-174D-4C68-AC02-5B50A822B6EC}">
  <sheetPr>
    <tabColor theme="4" tint="0.59999389629810485"/>
    <pageSetUpPr fitToPage="1"/>
  </sheetPr>
  <dimension ref="A1:G57"/>
  <sheetViews>
    <sheetView showGridLines="0" view="pageBreakPreview" zoomScale="80" zoomScaleNormal="120" zoomScaleSheetLayoutView="80" workbookViewId="0">
      <selection activeCell="A4" sqref="A4:A58"/>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KW'!A8</f>
        <v>3.1.3</v>
      </c>
      <c r="D3" s="31"/>
      <c r="E3" s="31"/>
      <c r="F3" s="31"/>
      <c r="G3" s="32" t="s">
        <v>652</v>
      </c>
    </row>
    <row r="4" spans="1:7" ht="67.900000000000006" customHeight="1">
      <c r="B4" s="649" t="str">
        <f>+'PRES MR 5 KW'!B8</f>
        <v>Suministro, transporte e instalación de caja combinadora FV. Incluye gabinete eléctrico con cumplimiento RETIE y tapa traslucida, de dimensiones 820x620x300 mm; protecciones, barrajes y DPS Tipo 1+2.</v>
      </c>
      <c r="C4" s="655"/>
      <c r="D4" s="655"/>
      <c r="E4" s="656"/>
      <c r="G4" s="33" t="str">
        <f>+'PRES MR 5 KW'!C8</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135</v>
      </c>
      <c r="B8" s="69" t="str">
        <f>VLOOKUP(A8,Materiales3[],3,FALSE)</f>
        <v>Barra bornera tierra con soporte plástico riel din de 10 cm</v>
      </c>
      <c r="C8" s="40" t="str">
        <f>VLOOKUP(A8,Materiales3[],4,FALSE)</f>
        <v>UN</v>
      </c>
      <c r="D8" s="40">
        <v>4</v>
      </c>
      <c r="E8" s="40">
        <f>VLOOKUP(A8,Materiales3[],5,FALSE)*D8</f>
        <v>2</v>
      </c>
      <c r="F8" s="42">
        <f>VLOOKUP(A8,Materiales3[],6,FALSE)</f>
        <v>0</v>
      </c>
      <c r="G8" s="42">
        <f>D8*F8</f>
        <v>0</v>
      </c>
    </row>
    <row r="9" spans="1:7" ht="25">
      <c r="A9" s="89">
        <v>190</v>
      </c>
      <c r="B9" s="69" t="str">
        <f>VLOOKUP(A9,Materiales3[],3,FALSE)</f>
        <v>Barraje de cobre tropicalizado de 80 A para 16 conexiones</v>
      </c>
      <c r="C9" s="40" t="str">
        <f>VLOOKUP(A9,Materiales3[],4,FALSE)</f>
        <v>UN</v>
      </c>
      <c r="D9" s="40">
        <v>6</v>
      </c>
      <c r="E9" s="40">
        <f>VLOOKUP(A9,Materiales3[],5,FALSE)*D9</f>
        <v>2.4000000000000004</v>
      </c>
      <c r="F9" s="42">
        <f>VLOOKUP(A9,Materiales3[],6,FALSE)</f>
        <v>0</v>
      </c>
      <c r="G9" s="42">
        <f t="shared" ref="G9:G14" si="0">D9*F9</f>
        <v>0</v>
      </c>
    </row>
    <row r="10" spans="1:7" ht="44.5" customHeight="1">
      <c r="A10" s="89">
        <v>73</v>
      </c>
      <c r="B10" s="69" t="str">
        <f>VLOOKUP(A10,Materiales3[],3,FALSE)</f>
        <v>Kit de barra de cobre para puesta tierra de 10 conectores con área transversal no menor a 21,14 mm2. Incluye aisladores y accesorios de sujeción</v>
      </c>
      <c r="C10" s="40" t="str">
        <f>VLOOKUP(A10,Materiales3[],4,FALSE)</f>
        <v>UN</v>
      </c>
      <c r="D10" s="40">
        <v>1</v>
      </c>
      <c r="E10" s="40">
        <f>VLOOKUP(A10,Materiales3[],5,FALSE)*D10</f>
        <v>0.5</v>
      </c>
      <c r="F10" s="42">
        <f>VLOOKUP(A10,Materiales3[],6,FALSE)</f>
        <v>0</v>
      </c>
      <c r="G10" s="42">
        <f t="shared" si="0"/>
        <v>0</v>
      </c>
    </row>
    <row r="11" spans="1:7" ht="14.5">
      <c r="A11" s="89">
        <v>137</v>
      </c>
      <c r="B11" s="69" t="str">
        <f>VLOOKUP(A11,Materiales3[],3,FALSE)</f>
        <v xml:space="preserve">Canaleta ranurada dexon 25 x 40 mm </v>
      </c>
      <c r="C11" s="40" t="str">
        <f>VLOOKUP(A11,Materiales3[],4,FALSE)</f>
        <v>ML</v>
      </c>
      <c r="D11" s="40">
        <v>2</v>
      </c>
      <c r="E11" s="40">
        <f>VLOOKUP(A11,Materiales3[],5,FALSE)*D11</f>
        <v>0.2</v>
      </c>
      <c r="F11" s="42">
        <f>VLOOKUP(A11,Materiales3[],6,FALSE)</f>
        <v>0</v>
      </c>
      <c r="G11" s="42">
        <f t="shared" si="0"/>
        <v>0</v>
      </c>
    </row>
    <row r="12" spans="1:7" ht="14.5">
      <c r="A12" s="89">
        <v>138</v>
      </c>
      <c r="B12" s="69" t="str">
        <f>VLOOKUP(A12,Materiales3[],3,FALSE)</f>
        <v>Cinta de amarre dexon 10 cm color blanco</v>
      </c>
      <c r="C12" s="40" t="str">
        <f>VLOOKUP(A12,Materiales3[],4,FALSE)</f>
        <v>UN</v>
      </c>
      <c r="D12" s="40">
        <v>15</v>
      </c>
      <c r="E12" s="40">
        <f>VLOOKUP(A12,Materiales3[],5,FALSE)*D12</f>
        <v>3</v>
      </c>
      <c r="F12" s="42">
        <f>VLOOKUP(A12,Materiales3[],6,FALSE)</f>
        <v>0</v>
      </c>
      <c r="G12" s="42">
        <f t="shared" si="0"/>
        <v>0</v>
      </c>
    </row>
    <row r="13" spans="1:7" ht="39.65" customHeight="1">
      <c r="A13" s="89">
        <v>18</v>
      </c>
      <c r="B13" s="69" t="str">
        <f>VLOOKUP(A13,Materiales3[],3,FALSE)</f>
        <v>Gabinete eléctrico metálico con revestimiento eléctrostatico de dimensiones 820x620x300 IP66 Doble fondo.</v>
      </c>
      <c r="C13" s="40" t="str">
        <f>VLOOKUP(A13,Materiales3[],4,FALSE)</f>
        <v>UN</v>
      </c>
      <c r="D13" s="40">
        <v>1</v>
      </c>
      <c r="E13" s="40">
        <f>VLOOKUP(A13,Materiales3[],5,FALSE)*D13</f>
        <v>20</v>
      </c>
      <c r="F13" s="42">
        <f>VLOOKUP(A13,Materiales3[],6,FALSE)</f>
        <v>0</v>
      </c>
      <c r="G13" s="42">
        <f t="shared" si="0"/>
        <v>0</v>
      </c>
    </row>
    <row r="14" spans="1:7" ht="14.5">
      <c r="A14" s="89">
        <v>140</v>
      </c>
      <c r="B14" s="69" t="str">
        <f>VLOOKUP(A14,Materiales3[],3,FALSE)</f>
        <v>Marcador tipo anillo ar2 (+, -, L, N,T) x 20 Piezas</v>
      </c>
      <c r="C14" s="40" t="str">
        <f>VLOOKUP(A14,Materiales3[],4,FALSE)</f>
        <v>JG</v>
      </c>
      <c r="D14" s="40">
        <v>2</v>
      </c>
      <c r="E14" s="40">
        <f>VLOOKUP(A14,Materiales3[],5,FALSE)*D14</f>
        <v>0.02</v>
      </c>
      <c r="F14" s="42">
        <f>VLOOKUP(A14,Materiales3[],6,FALSE)</f>
        <v>0</v>
      </c>
      <c r="G14" s="42">
        <f t="shared" si="0"/>
        <v>0</v>
      </c>
    </row>
    <row r="15" spans="1:7" ht="14.5">
      <c r="A15" s="89">
        <v>24</v>
      </c>
      <c r="B15" s="69" t="str">
        <f>VLOOKUP(A15,Materiales3[],3,FALSE)</f>
        <v>Borna para ponchar varios calibres y terminales</v>
      </c>
      <c r="C15" s="40" t="str">
        <f>VLOOKUP(A15,Materiales3[],4,FALSE)</f>
        <v>UN</v>
      </c>
      <c r="D15" s="40">
        <f>4*3*2+3*4+3*4</f>
        <v>48</v>
      </c>
      <c r="E15" s="40">
        <f>VLOOKUP(A15,Materiales3[],5,FALSE)*D15</f>
        <v>0.38400000000000001</v>
      </c>
      <c r="F15" s="42">
        <f>VLOOKUP(A15,Materiales3[],6,FALSE)</f>
        <v>0</v>
      </c>
      <c r="G15" s="42">
        <f t="shared" ref="G15:G33" si="1">D15*F15</f>
        <v>0</v>
      </c>
    </row>
    <row r="16" spans="1:7" ht="14.5">
      <c r="A16" s="89">
        <v>141</v>
      </c>
      <c r="B16" s="69" t="str">
        <f>VLOOKUP(A16,Materiales3[],3,FALSE)</f>
        <v>Tornillo autoperforante de cabeza estrella 1/4" x 1/4"</v>
      </c>
      <c r="C16" s="40" t="str">
        <f>VLOOKUP(A16,Materiales3[],4,FALSE)</f>
        <v>UN</v>
      </c>
      <c r="D16" s="40">
        <v>18</v>
      </c>
      <c r="E16" s="40">
        <f>VLOOKUP(A16,Materiales3[],5,FALSE)*D16</f>
        <v>0.09</v>
      </c>
      <c r="F16" s="42">
        <f>VLOOKUP(A16,Materiales3[],6,FALSE)</f>
        <v>0</v>
      </c>
      <c r="G16" s="42">
        <f t="shared" si="1"/>
        <v>0</v>
      </c>
    </row>
    <row r="17" spans="1:7" ht="14.5">
      <c r="A17" s="89">
        <v>10</v>
      </c>
      <c r="B17" s="69" t="str">
        <f>VLOOKUP(A17,Materiales3[],3,FALSE)</f>
        <v>Riel DIN 35 mm x 7.5 mm</v>
      </c>
      <c r="C17" s="40" t="str">
        <f>VLOOKUP(A17,Materiales3[],4,FALSE)</f>
        <v>ML</v>
      </c>
      <c r="D17" s="40">
        <v>2</v>
      </c>
      <c r="E17" s="40">
        <f>VLOOKUP(A17,Materiales3[],5,FALSE)*D17</f>
        <v>0.6</v>
      </c>
      <c r="F17" s="42">
        <f>VLOOKUP(A17,Materiales3[],6,FALSE)</f>
        <v>0</v>
      </c>
      <c r="G17" s="42">
        <f t="shared" si="1"/>
        <v>0</v>
      </c>
    </row>
    <row r="18" spans="1:7" ht="14.5">
      <c r="A18" s="89">
        <v>236</v>
      </c>
      <c r="B18" s="69" t="str">
        <f>VLOOKUP(A18,Materiales3[],3,FALSE)</f>
        <v>DPS Tipo 1+2 500 Uc Up 2,5 kV 18-40 kA</v>
      </c>
      <c r="C18" s="40" t="str">
        <f>VLOOKUP(A18,Materiales3[],4,FALSE)</f>
        <v>UN</v>
      </c>
      <c r="D18" s="40">
        <v>1</v>
      </c>
      <c r="E18" s="40">
        <f>VLOOKUP(A18,Materiales3[],5,FALSE)*D18</f>
        <v>0.24</v>
      </c>
      <c r="F18" s="42">
        <f>VLOOKUP(A18,Materiales3[],6,FALSE)</f>
        <v>0</v>
      </c>
      <c r="G18" s="42">
        <f t="shared" si="1"/>
        <v>0</v>
      </c>
    </row>
    <row r="19" spans="1:7" ht="14.5">
      <c r="A19" s="89">
        <v>25</v>
      </c>
      <c r="B19" s="69" t="str">
        <f>VLOOKUP(A19,Materiales3[],3,FALSE)</f>
        <v>Tubo termoencogible. Distintos calibres, distintos colores</v>
      </c>
      <c r="C19" s="40" t="str">
        <f>VLOOKUP(A19,Materiales3[],4,FALSE)</f>
        <v>UN</v>
      </c>
      <c r="D19" s="40">
        <v>48</v>
      </c>
      <c r="E19" s="40">
        <f>VLOOKUP(A19,Materiales3[],5,FALSE)*D19</f>
        <v>0.38400000000000001</v>
      </c>
      <c r="F19" s="42">
        <f>VLOOKUP(A19,Materiales3[],6,FALSE)</f>
        <v>0</v>
      </c>
      <c r="G19" s="42">
        <f t="shared" si="1"/>
        <v>0</v>
      </c>
    </row>
    <row r="20" spans="1:7" ht="14.5">
      <c r="A20" s="89">
        <v>142</v>
      </c>
      <c r="B20" s="69" t="str">
        <f>VLOOKUP(A20,Materiales3[],3,FALSE)</f>
        <v xml:space="preserve">Interruptor termomagnético 25A 2P 500 VDC 6 Ka </v>
      </c>
      <c r="C20" s="40" t="str">
        <f>VLOOKUP(A20,Materiales3[],4,FALSE)</f>
        <v>UN</v>
      </c>
      <c r="D20" s="40">
        <v>4</v>
      </c>
      <c r="E20" s="40">
        <f>VLOOKUP(A20,Materiales3[],5,FALSE)*D20</f>
        <v>0.96</v>
      </c>
      <c r="F20" s="42">
        <f>VLOOKUP(A20,Materiales3[],6,FALSE)</f>
        <v>0</v>
      </c>
      <c r="G20" s="42">
        <f t="shared" si="1"/>
        <v>0</v>
      </c>
    </row>
    <row r="21" spans="1:7" ht="14.5">
      <c r="A21" s="89">
        <v>143</v>
      </c>
      <c r="B21" s="69" t="str">
        <f>VLOOKUP(A21,Materiales3[],3,FALSE)</f>
        <v xml:space="preserve">Interruptor termomagnético 80A 2P 500 VDC 6 Ka </v>
      </c>
      <c r="C21" s="40" t="str">
        <f>VLOOKUP(A21,Materiales3[],4,FALSE)</f>
        <v>UN</v>
      </c>
      <c r="D21" s="40">
        <v>1</v>
      </c>
      <c r="E21" s="40">
        <f>VLOOKUP(A21,Materiales3[],5,FALSE)*D21</f>
        <v>0.3</v>
      </c>
      <c r="F21" s="42">
        <f>VLOOKUP(A21,Materiales3[],6,FALSE)</f>
        <v>0</v>
      </c>
      <c r="G21" s="42">
        <f t="shared" si="1"/>
        <v>0</v>
      </c>
    </row>
    <row r="22" spans="1:7" ht="14.5">
      <c r="A22" s="89">
        <v>11</v>
      </c>
      <c r="B22" s="69" t="str">
        <f>VLOOKUP(A22,Materiales3[],3,FALSE)</f>
        <v xml:space="preserve">Interruptor termomagnético 50A 2P 500 VDC 6 Ka </v>
      </c>
      <c r="C22" s="40" t="str">
        <f>VLOOKUP(A22,Materiales3[],4,FALSE)</f>
        <v>UN</v>
      </c>
      <c r="D22" s="40">
        <v>1</v>
      </c>
      <c r="E22" s="40">
        <f>VLOOKUP(A22,Materiales3[],5,FALSE)*D22</f>
        <v>0.24</v>
      </c>
      <c r="F22" s="42">
        <f>VLOOKUP(A22,Materiales3[],6,FALSE)</f>
        <v>0</v>
      </c>
      <c r="G22" s="42">
        <f t="shared" si="1"/>
        <v>0</v>
      </c>
    </row>
    <row r="23" spans="1:7" ht="14.5">
      <c r="A23" s="89">
        <v>341</v>
      </c>
      <c r="B23" s="69" t="str">
        <f>VLOOKUP(A23,Materiales3[],3,FALSE)</f>
        <v xml:space="preserve">Interruptor termomagnético 20A 2P 500 VDC 6 Ka </v>
      </c>
      <c r="C23" s="40" t="str">
        <f>VLOOKUP(A23,Materiales3[],4,FALSE)</f>
        <v>UN</v>
      </c>
      <c r="D23" s="40">
        <v>4</v>
      </c>
      <c r="E23" s="40">
        <f>VLOOKUP(A23,Materiales3[],5,FALSE)*D23</f>
        <v>0.96</v>
      </c>
      <c r="F23" s="42">
        <f>VLOOKUP(A23,Materiales3[],6,FALSE)</f>
        <v>0</v>
      </c>
      <c r="G23" s="42">
        <f t="shared" si="1"/>
        <v>0</v>
      </c>
    </row>
    <row r="24" spans="1:7" ht="14.5">
      <c r="A24" s="89">
        <v>400</v>
      </c>
      <c r="B24" s="69" t="str">
        <f>VLOOKUP(A24,Materiales3[],3,FALSE)</f>
        <v xml:space="preserve">Fusible DC 32A </v>
      </c>
      <c r="C24" s="40" t="str">
        <f>VLOOKUP(A24,Materiales3[],4,FALSE)</f>
        <v>UN</v>
      </c>
      <c r="D24" s="40">
        <v>4</v>
      </c>
      <c r="E24" s="40">
        <f>VLOOKUP(A24,Materiales3[],5,FALSE)*D24</f>
        <v>0.4</v>
      </c>
      <c r="F24" s="42">
        <f>VLOOKUP(A24,Materiales3[],6,FALSE)</f>
        <v>0</v>
      </c>
      <c r="G24" s="42">
        <f t="shared" si="1"/>
        <v>0</v>
      </c>
    </row>
    <row r="25" spans="1:7" ht="14.5">
      <c r="A25" s="89">
        <v>401</v>
      </c>
      <c r="B25" s="69" t="str">
        <f>VLOOKUP(A25,Materiales3[],3,FALSE)</f>
        <v xml:space="preserve">Portafusibles 1P 1000VDC </v>
      </c>
      <c r="C25" s="40" t="str">
        <f>VLOOKUP(A25,Materiales3[],4,FALSE)</f>
        <v>UN</v>
      </c>
      <c r="D25" s="40">
        <v>4</v>
      </c>
      <c r="E25" s="40">
        <f>VLOOKUP(A25,Materiales3[],5,FALSE)*D25</f>
        <v>1</v>
      </c>
      <c r="F25" s="42">
        <f>VLOOKUP(A25,Materiales3[],6,FALSE)</f>
        <v>0</v>
      </c>
      <c r="G25" s="42">
        <f t="shared" si="1"/>
        <v>0</v>
      </c>
    </row>
    <row r="26" spans="1:7" ht="14.5">
      <c r="A26" s="89">
        <v>238</v>
      </c>
      <c r="B26" s="69" t="str">
        <f>VLOOKUP(A26,Materiales3[],3,FALSE)</f>
        <v>Cable Cu THHN 2 AWG</v>
      </c>
      <c r="C26" s="40" t="str">
        <f>VLOOKUP(A26,Materiales3[],4,FALSE)</f>
        <v>ML</v>
      </c>
      <c r="D26" s="40">
        <f>2*0.5*1.05</f>
        <v>1.05</v>
      </c>
      <c r="E26" s="40">
        <f>VLOOKUP(A26,Materiales3[],5,FALSE)*D26</f>
        <v>0.36749999999999999</v>
      </c>
      <c r="F26" s="42">
        <f>VLOOKUP(A26,Materiales3[],6,FALSE)</f>
        <v>0</v>
      </c>
      <c r="G26" s="42">
        <f t="shared" si="1"/>
        <v>0</v>
      </c>
    </row>
    <row r="27" spans="1:7" ht="14.5">
      <c r="A27" s="89">
        <v>132</v>
      </c>
      <c r="B27" s="69" t="str">
        <f>VLOOKUP(A27,Materiales3[],3,FALSE)&amp;" Verde"</f>
        <v>Cable Cu THHN 10 AWG Verde</v>
      </c>
      <c r="C27" s="40" t="str">
        <f>VLOOKUP(A27,Materiales3[],4,FALSE)</f>
        <v>ML</v>
      </c>
      <c r="D27" s="40">
        <f>1*0.5*1.05</f>
        <v>0.52500000000000002</v>
      </c>
      <c r="E27" s="40">
        <f>VLOOKUP(A27,Materiales3[],5,FALSE)*D27</f>
        <v>3.0975000000000003E-2</v>
      </c>
      <c r="F27" s="42">
        <f>VLOOKUP(A27,Materiales3[],6,FALSE)</f>
        <v>0</v>
      </c>
      <c r="G27" s="42">
        <f t="shared" si="1"/>
        <v>0</v>
      </c>
    </row>
    <row r="28" spans="1:7" ht="14.5">
      <c r="A28" s="89">
        <v>132</v>
      </c>
      <c r="B28" s="69" t="str">
        <f>VLOOKUP(A28,Materiales3[],3,FALSE)</f>
        <v>Cable Cu THHN 10 AWG</v>
      </c>
      <c r="C28" s="40" t="str">
        <f>VLOOKUP(A28,Materiales3[],4,FALSE)</f>
        <v>ML</v>
      </c>
      <c r="D28" s="40">
        <f>4*2*0.5*1.05</f>
        <v>4.2</v>
      </c>
      <c r="E28" s="40">
        <f>VLOOKUP(A28,Materiales3[],5,FALSE)*D28</f>
        <v>0.24780000000000002</v>
      </c>
      <c r="F28" s="42">
        <f>VLOOKUP(A28,Materiales3[],6,FALSE)</f>
        <v>0</v>
      </c>
      <c r="G28" s="42">
        <f t="shared" si="1"/>
        <v>0</v>
      </c>
    </row>
    <row r="29" spans="1:7" ht="14.5">
      <c r="A29" s="89">
        <v>124</v>
      </c>
      <c r="B29" s="69" t="str">
        <f>VLOOKUP(A29,Materiales3[],3,FALSE)&amp;" Verde"</f>
        <v>Cable Cu THHN 12 AWG Verde</v>
      </c>
      <c r="C29" s="40" t="str">
        <f>VLOOKUP(A29,Materiales3[],4,FALSE)</f>
        <v>ML</v>
      </c>
      <c r="D29" s="40">
        <f>4*1*0.5*1.05</f>
        <v>2.1</v>
      </c>
      <c r="E29" s="40">
        <f>VLOOKUP(A29,Materiales3[],5,FALSE)*D29</f>
        <v>7.1400000000000005E-2</v>
      </c>
      <c r="F29" s="42">
        <f>VLOOKUP(A29,Materiales3[],6,FALSE)</f>
        <v>0</v>
      </c>
      <c r="G29" s="42">
        <f t="shared" si="1"/>
        <v>0</v>
      </c>
    </row>
    <row r="30" spans="1:7" ht="14.5">
      <c r="A30" s="4">
        <v>237</v>
      </c>
      <c r="B30" s="69" t="str">
        <f>VLOOKUP(A30,Materiales3[],3,FALSE)</f>
        <v>Cable Cu THHN 4 AWG</v>
      </c>
      <c r="C30" s="40" t="str">
        <f>VLOOKUP(A30,Materiales3[],4,FALSE)</f>
        <v>ML</v>
      </c>
      <c r="D30" s="40">
        <f>2*0.5*1.05</f>
        <v>1.05</v>
      </c>
      <c r="E30" s="40">
        <f>VLOOKUP(A30,Materiales3[],5,FALSE)*D30</f>
        <v>0.24675</v>
      </c>
      <c r="F30" s="42">
        <f>VLOOKUP(A30,Materiales3[],6,FALSE)</f>
        <v>0</v>
      </c>
      <c r="G30" s="42">
        <f t="shared" si="1"/>
        <v>0</v>
      </c>
    </row>
    <row r="31" spans="1:7" ht="14.5">
      <c r="A31" s="4">
        <v>237</v>
      </c>
      <c r="B31" s="69" t="str">
        <f>VLOOKUP(A31,Materiales3[],3,FALSE)&amp;" Verde"</f>
        <v>Cable Cu THHN 4 AWG Verde</v>
      </c>
      <c r="C31" s="40" t="str">
        <f>VLOOKUP(A31,Materiales3[],4,FALSE)</f>
        <v>ML</v>
      </c>
      <c r="D31" s="40">
        <f>1*0.5*1.05</f>
        <v>0.52500000000000002</v>
      </c>
      <c r="E31" s="40">
        <f>VLOOKUP(A31,Materiales3[],5,FALSE)*D31</f>
        <v>0.123375</v>
      </c>
      <c r="F31" s="42">
        <f>VLOOKUP(A31,Materiales3[],6,FALSE)</f>
        <v>0</v>
      </c>
      <c r="G31" s="42">
        <f t="shared" si="1"/>
        <v>0</v>
      </c>
    </row>
    <row r="32" spans="1:7" ht="14.5">
      <c r="A32" s="4">
        <v>238</v>
      </c>
      <c r="B32" s="69" t="str">
        <f>VLOOKUP(A32,Materiales3[],3,FALSE)&amp;" Verde"</f>
        <v>Cable Cu THHN 2 AWG Verde</v>
      </c>
      <c r="C32" s="40" t="str">
        <f>VLOOKUP(A32,Materiales3[],4,FALSE)</f>
        <v>ML</v>
      </c>
      <c r="D32" s="40">
        <f>1*1.5*1.05</f>
        <v>1.5750000000000002</v>
      </c>
      <c r="E32" s="40">
        <f>VLOOKUP(A32,Materiales3[],5,FALSE)*D32</f>
        <v>0.55125000000000002</v>
      </c>
      <c r="F32" s="42">
        <f>VLOOKUP(A32,Materiales3[],6,FALSE)</f>
        <v>0</v>
      </c>
      <c r="G32" s="42">
        <f t="shared" si="1"/>
        <v>0</v>
      </c>
    </row>
    <row r="33" spans="1:7" ht="14.5">
      <c r="A33" s="4">
        <v>237</v>
      </c>
      <c r="B33" s="69" t="str">
        <f>VLOOKUP(A33,Materiales3[],3,FALSE)&amp;" Verde"</f>
        <v>Cable Cu THHN 4 AWG Verde</v>
      </c>
      <c r="C33" s="40" t="str">
        <f>VLOOKUP(A33,Materiales3[],4,FALSE)</f>
        <v>ML</v>
      </c>
      <c r="D33" s="40">
        <f>1*2*1.05</f>
        <v>2.1</v>
      </c>
      <c r="E33" s="40">
        <f>VLOOKUP(A33,Materiales3[],5,FALSE)*D33</f>
        <v>0.49349999999999999</v>
      </c>
      <c r="F33" s="42">
        <f>VLOOKUP(A33,Materiales3[],6,FALSE)</f>
        <v>0</v>
      </c>
      <c r="G33" s="42">
        <f t="shared" si="1"/>
        <v>0</v>
      </c>
    </row>
    <row r="34" spans="1:7" ht="13">
      <c r="D34" s="47"/>
      <c r="E34" s="47"/>
      <c r="F34" s="48" t="s">
        <v>654</v>
      </c>
      <c r="G34" s="49">
        <f>SUM(G8:G33)</f>
        <v>0</v>
      </c>
    </row>
    <row r="35" spans="1:7">
      <c r="G35" s="73"/>
    </row>
    <row r="36" spans="1:7" ht="13">
      <c r="B36" s="50" t="s">
        <v>655</v>
      </c>
      <c r="G36" s="74"/>
    </row>
    <row r="37" spans="1:7" ht="13">
      <c r="A37" s="88" t="s">
        <v>138</v>
      </c>
      <c r="B37" s="37" t="s">
        <v>19</v>
      </c>
      <c r="C37" s="38" t="s">
        <v>665</v>
      </c>
      <c r="D37" s="38" t="s">
        <v>656</v>
      </c>
      <c r="E37" s="38"/>
      <c r="F37" s="38" t="s">
        <v>21</v>
      </c>
      <c r="G37" s="38" t="s">
        <v>286</v>
      </c>
    </row>
    <row r="38" spans="1:7" ht="14.5">
      <c r="A38" s="89">
        <v>1</v>
      </c>
      <c r="B38" s="43" t="str">
        <f>VLOOKUP(A38,Equipoyherramienta[],2,FALSE)</f>
        <v>Herramienta menor</v>
      </c>
      <c r="C38" s="44" t="str">
        <f>VLOOKUP(A38,Equipoyherramienta[],3,FALSE)</f>
        <v>UN</v>
      </c>
      <c r="D38" s="51">
        <f>VLOOKUP(A38,Equipoyherramienta[],4,FALSE)</f>
        <v>0</v>
      </c>
      <c r="E38" s="51"/>
      <c r="F38" s="71">
        <f>+RENDIMIENTOS!C32</f>
        <v>2</v>
      </c>
      <c r="G38" s="51">
        <f>ROUND(D38/F38,0)</f>
        <v>0</v>
      </c>
    </row>
    <row r="39" spans="1:7">
      <c r="B39" s="43"/>
      <c r="C39" s="44"/>
      <c r="D39" s="46"/>
      <c r="E39" s="46"/>
      <c r="F39" s="52"/>
      <c r="G39" s="53"/>
    </row>
    <row r="40" spans="1:7">
      <c r="B40" s="43"/>
      <c r="C40" s="44"/>
      <c r="D40" s="46"/>
      <c r="E40" s="46"/>
      <c r="F40" s="52"/>
      <c r="G40" s="53"/>
    </row>
    <row r="41" spans="1:7" ht="13">
      <c r="D41" s="47"/>
      <c r="E41" s="47"/>
      <c r="F41" s="48" t="s">
        <v>654</v>
      </c>
      <c r="G41" s="49">
        <f>SUM(G38:G40)</f>
        <v>0</v>
      </c>
    </row>
    <row r="42" spans="1:7" ht="13">
      <c r="D42" s="47"/>
      <c r="E42" s="47"/>
      <c r="F42" s="47"/>
      <c r="G42" s="54"/>
    </row>
    <row r="43" spans="1:7" ht="13">
      <c r="B43" s="36" t="s">
        <v>657</v>
      </c>
      <c r="G43" s="55"/>
    </row>
    <row r="44" spans="1:7" ht="13">
      <c r="A44" s="88" t="s">
        <v>138</v>
      </c>
      <c r="B44" s="37" t="s">
        <v>19</v>
      </c>
      <c r="C44" s="38" t="s">
        <v>284</v>
      </c>
      <c r="D44" s="38" t="s">
        <v>410</v>
      </c>
      <c r="E44" s="38"/>
      <c r="F44" s="38" t="s">
        <v>666</v>
      </c>
      <c r="G44" s="56" t="s">
        <v>286</v>
      </c>
    </row>
    <row r="45" spans="1:7" ht="50">
      <c r="A45" s="89">
        <v>6</v>
      </c>
      <c r="B45" s="57" t="str">
        <f>VLOOKUP(A45,Transp.[],2,FALSE)</f>
        <v>Carga terrestre desde Barranquilla hasta Usuario, incluye cargues, descargues, cruces de río, transporte semoviente, transporte en vehículo de carga pesada y cualquier otro tranposte.</v>
      </c>
      <c r="C45" s="40" t="s">
        <v>667</v>
      </c>
      <c r="D45" s="41">
        <f>SUM(E8:E33)</f>
        <v>35.810549999999992</v>
      </c>
      <c r="E45" s="41"/>
      <c r="F45" s="59">
        <f>VLOOKUP(A45,Transp.[],6,FALSE)</f>
        <v>0</v>
      </c>
      <c r="G45" s="59">
        <f>D45*F45</f>
        <v>0</v>
      </c>
    </row>
    <row r="46" spans="1:7" ht="13.15" customHeight="1">
      <c r="A46" s="89"/>
      <c r="B46" s="57"/>
      <c r="C46" s="40"/>
      <c r="D46" s="41"/>
      <c r="E46" s="41"/>
      <c r="F46" s="59"/>
      <c r="G46" s="59"/>
    </row>
    <row r="47" spans="1:7" ht="13.15" customHeight="1">
      <c r="A47" s="89"/>
      <c r="B47" s="57"/>
      <c r="C47" s="40"/>
      <c r="D47" s="41"/>
      <c r="E47" s="41"/>
      <c r="F47" s="59"/>
      <c r="G47" s="59"/>
    </row>
    <row r="48" spans="1:7" ht="13">
      <c r="D48" s="47"/>
      <c r="E48" s="47"/>
      <c r="F48" s="61" t="s">
        <v>654</v>
      </c>
      <c r="G48" s="49">
        <f>SUM(G45:G47)</f>
        <v>0</v>
      </c>
    </row>
    <row r="50" spans="1:7" ht="13">
      <c r="B50" s="36" t="s">
        <v>661</v>
      </c>
      <c r="D50" s="62"/>
      <c r="E50" s="62"/>
      <c r="F50" s="63"/>
      <c r="G50" s="55"/>
    </row>
    <row r="51" spans="1:7" s="47" customFormat="1" ht="13">
      <c r="A51" s="88" t="s">
        <v>138</v>
      </c>
      <c r="B51" s="38" t="s">
        <v>19</v>
      </c>
      <c r="C51" s="38" t="s">
        <v>662</v>
      </c>
      <c r="D51" s="38" t="s">
        <v>663</v>
      </c>
      <c r="E51" s="38"/>
      <c r="F51" s="38" t="s">
        <v>21</v>
      </c>
      <c r="G51" s="56" t="s">
        <v>286</v>
      </c>
    </row>
    <row r="52" spans="1:7" ht="14.5">
      <c r="A52" s="89">
        <v>1</v>
      </c>
      <c r="B52" s="64" t="str">
        <f>VLOOKUP(A52,ManoObra[],2,FALSE)</f>
        <v>Electricista</v>
      </c>
      <c r="C52" s="65">
        <f>VLOOKUP(A52,ManoObra[],8,FALSE)</f>
        <v>0</v>
      </c>
      <c r="D52" s="52">
        <f>+FP!E27</f>
        <v>0</v>
      </c>
      <c r="E52" s="52"/>
      <c r="F52" s="71">
        <f>F38</f>
        <v>2</v>
      </c>
      <c r="G52" s="51">
        <f>ROUND(C52*D52/F52,0)</f>
        <v>0</v>
      </c>
    </row>
    <row r="53" spans="1:7" ht="14.5">
      <c r="A53" s="89">
        <v>2</v>
      </c>
      <c r="B53" s="64" t="str">
        <f>VLOOKUP(A53,ManoObra[],2,FALSE)</f>
        <v>Ayudante</v>
      </c>
      <c r="C53" s="65">
        <f>VLOOKUP(A53,ManoObra[],8,FALSE)</f>
        <v>0</v>
      </c>
      <c r="D53" s="52">
        <f>+FP!E27</f>
        <v>0</v>
      </c>
      <c r="E53" s="52"/>
      <c r="F53" s="71">
        <f>F38</f>
        <v>2</v>
      </c>
      <c r="G53" s="51">
        <f>ROUND(C53*D53/F53,0)</f>
        <v>0</v>
      </c>
    </row>
    <row r="54" spans="1:7" ht="14.5">
      <c r="A54" s="89"/>
      <c r="B54" s="70"/>
      <c r="C54" s="65"/>
      <c r="D54" s="52"/>
      <c r="E54" s="52"/>
      <c r="F54" s="45"/>
      <c r="G54" s="51"/>
    </row>
    <row r="55" spans="1:7" ht="13">
      <c r="D55" s="47"/>
      <c r="E55" s="47"/>
      <c r="F55" s="61" t="s">
        <v>654</v>
      </c>
      <c r="G55" s="75">
        <f>SUM(G52:G54)</f>
        <v>0</v>
      </c>
    </row>
    <row r="56" spans="1:7" ht="13">
      <c r="D56" s="47"/>
      <c r="E56" s="47"/>
      <c r="G56" s="55"/>
    </row>
    <row r="57" spans="1:7" ht="12.75" customHeight="1">
      <c r="B57" s="47"/>
      <c r="D57" s="652" t="s">
        <v>664</v>
      </c>
      <c r="E57" s="654"/>
      <c r="F57" s="653"/>
      <c r="G57" s="66">
        <f>G34+G41+G48+G55</f>
        <v>0</v>
      </c>
    </row>
  </sheetData>
  <mergeCells count="3">
    <mergeCell ref="B1:G1"/>
    <mergeCell ref="B4:E4"/>
    <mergeCell ref="D57:F57"/>
  </mergeCells>
  <printOptions horizontalCentered="1"/>
  <pageMargins left="0.70866141732283472" right="0.70866141732283472" top="1.5748031496062993" bottom="0.98425196850393704" header="0.98425196850393704" footer="0.51181102362204722"/>
  <pageSetup scale="64" orientation="portrait" r:id="rId1"/>
  <headerFooter alignWithMargins="0">
    <oddHeader xml:space="preserve">&amp;C&amp;"Arial,Negrita"&amp;12ANÁLISIS DE PRECIOS UNITARIOS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F859E-98A2-427E-9568-2C7E7D003A4C}">
  <sheetPr codeName="Hoja32">
    <tabColor theme="4" tint="0.59999389629810485"/>
    <pageSetUpPr fitToPage="1"/>
  </sheetPr>
  <dimension ref="A1:G38"/>
  <sheetViews>
    <sheetView showGridLines="0" view="pageBreakPreview" zoomScale="80" zoomScaleNormal="120" zoomScaleSheetLayoutView="80" workbookViewId="0">
      <selection activeCell="A4" sqref="A4:A40"/>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KW'!A9</f>
        <v>3.1.4</v>
      </c>
      <c r="D3" s="31"/>
      <c r="E3" s="31"/>
      <c r="F3" s="31"/>
      <c r="G3" s="32" t="s">
        <v>652</v>
      </c>
    </row>
    <row r="4" spans="1:7" ht="99.65" customHeight="1">
      <c r="B4" s="649" t="str">
        <f>+'PRES MR 5 KW'!B9</f>
        <v>Suministro, transporte e instalación de controlador MPPT RS 450/200A, tensiones de trabajo a 48V, con bluetooth y VE.CAN incorporado para configuración y monitorización de historico, eficiencia de conversión 96%, función de trabajo en paralelo. Incluye cableado de entrada en calibre 4 AWG, cableado de salida en THHN 250 MCM y cableado de comnunicaciones VE.CAN</v>
      </c>
      <c r="C4" s="655"/>
      <c r="D4" s="655"/>
      <c r="E4" s="656"/>
      <c r="G4" s="33" t="str">
        <f>+'PRES MR 5 KW'!C9</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64.150000000000006" customHeight="1">
      <c r="A8" s="89">
        <v>15</v>
      </c>
      <c r="B8" s="69" t="str">
        <f>VLOOKUP(A8,Materiales3[],3,FALSE)</f>
        <v>Controlador MPPT RS 450/200A, tensiones de trabajo a 24V-48V, con conexión bluetoot y VE.CAN para configuración y monitorización de historico, eficiencia de conversión 99%, función de trabajo en paralelo</v>
      </c>
      <c r="C8" s="40" t="str">
        <f>VLOOKUP(A8,Materiales3[],4,FALSE)</f>
        <v>UN</v>
      </c>
      <c r="D8" s="41">
        <v>1</v>
      </c>
      <c r="E8" s="40">
        <f>VLOOKUP(A8,Materiales3[],5,FALSE)*D8</f>
        <v>13.7</v>
      </c>
      <c r="F8" s="42">
        <f>VLOOKUP(A8,Materiales3[],6,FALSE)</f>
        <v>0</v>
      </c>
      <c r="G8" s="42">
        <f t="shared" ref="G8:G14" si="0">D8*F8</f>
        <v>0</v>
      </c>
    </row>
    <row r="9" spans="1:7" ht="14.5">
      <c r="A9" s="89">
        <v>24</v>
      </c>
      <c r="B9" s="69" t="str">
        <f>VLOOKUP(A9,Materiales3[],3,FALSE)</f>
        <v>Borna para ponchar varios calibres y terminales</v>
      </c>
      <c r="C9" s="40" t="str">
        <f>VLOOKUP(A9,Materiales3[],4,FALSE)</f>
        <v>UN</v>
      </c>
      <c r="D9" s="41">
        <v>3</v>
      </c>
      <c r="E9" s="40">
        <f>VLOOKUP(A9,Materiales3[],5,FALSE)*D9</f>
        <v>2.4E-2</v>
      </c>
      <c r="F9" s="42">
        <f>VLOOKUP(A9,Materiales3[],6,FALSE)</f>
        <v>0</v>
      </c>
      <c r="G9" s="42">
        <f t="shared" si="0"/>
        <v>0</v>
      </c>
    </row>
    <row r="10" spans="1:7" ht="14.5">
      <c r="A10" s="89">
        <v>25</v>
      </c>
      <c r="B10" s="69" t="str">
        <f>VLOOKUP(A10,Materiales3[],3,FALSE)</f>
        <v>Tubo termoencogible. Distintos calibres, distintos colores</v>
      </c>
      <c r="C10" s="40" t="str">
        <f>VLOOKUP(A10,Materiales3[],4,FALSE)</f>
        <v>UN</v>
      </c>
      <c r="D10" s="41">
        <v>3</v>
      </c>
      <c r="E10" s="40">
        <f>VLOOKUP(A10,Materiales3[],5,FALSE)*D10</f>
        <v>2.4E-2</v>
      </c>
      <c r="F10" s="42">
        <f>VLOOKUP(A10,Materiales3[],6,FALSE)</f>
        <v>0</v>
      </c>
      <c r="G10" s="42">
        <f t="shared" si="0"/>
        <v>0</v>
      </c>
    </row>
    <row r="11" spans="1:7" ht="14.5">
      <c r="A11" s="89">
        <v>62</v>
      </c>
      <c r="B11" s="69" t="str">
        <f>VLOOKUP(A11,Materiales3[],3,FALSE)</f>
        <v>Cable VE.Direct / VE.Can 1.8m</v>
      </c>
      <c r="C11" s="40" t="str">
        <f>VLOOKUP(A11,Materiales3[],4,FALSE)</f>
        <v>UN</v>
      </c>
      <c r="D11" s="41">
        <v>1</v>
      </c>
      <c r="E11" s="40">
        <f>VLOOKUP(A11,Materiales3[],5,FALSE)*D11</f>
        <v>3.5000000000000003E-2</v>
      </c>
      <c r="F11" s="42">
        <f>VLOOKUP(A11,Materiales3[],6,FALSE)</f>
        <v>0</v>
      </c>
      <c r="G11" s="42">
        <f t="shared" si="0"/>
        <v>0</v>
      </c>
    </row>
    <row r="12" spans="1:7" ht="14.5">
      <c r="A12" s="89">
        <v>124</v>
      </c>
      <c r="B12" s="69" t="str">
        <f>VLOOKUP(A12,Materiales3[],3,FALSE)</f>
        <v>Cable Cu THHN 12 AWG</v>
      </c>
      <c r="C12" s="40" t="str">
        <f>VLOOKUP(A12,Materiales3[],4,FALSE)</f>
        <v>ML</v>
      </c>
      <c r="D12" s="181">
        <f>1*2*1.05</f>
        <v>2.1</v>
      </c>
      <c r="E12" s="40">
        <f>VLOOKUP(A12,Materiales3[],5,FALSE)*D12</f>
        <v>7.1400000000000005E-2</v>
      </c>
      <c r="F12" s="42">
        <f>VLOOKUP(A12,Materiales3[],6,FALSE)</f>
        <v>0</v>
      </c>
      <c r="G12" s="42">
        <f t="shared" si="0"/>
        <v>0</v>
      </c>
    </row>
    <row r="13" spans="1:7" ht="14.5">
      <c r="A13" s="89">
        <v>241</v>
      </c>
      <c r="B13" s="69" t="str">
        <f>VLOOKUP(A13,Materiales3[],3,FALSE)</f>
        <v>Cable Cu THHN 6 AWG</v>
      </c>
      <c r="C13" s="40" t="str">
        <f>VLOOKUP(A13,Materiales3[],4,FALSE)</f>
        <v>ML</v>
      </c>
      <c r="D13" s="181">
        <f>1*1.05</f>
        <v>1.05</v>
      </c>
      <c r="E13" s="40">
        <f>VLOOKUP(A13,Materiales3[],5,FALSE)*D13</f>
        <v>0.17640000000000003</v>
      </c>
      <c r="F13" s="42">
        <f>VLOOKUP(A13,Materiales3[],6,FALSE)</f>
        <v>0</v>
      </c>
      <c r="G13" s="42">
        <f t="shared" si="0"/>
        <v>0</v>
      </c>
    </row>
    <row r="14" spans="1:7" ht="14.5">
      <c r="A14" s="4">
        <v>465</v>
      </c>
      <c r="B14" s="69" t="str">
        <f>VLOOKUP(A14,Materiales3[],3,FALSE)</f>
        <v>Cable Cu THHN 3/0 AWG</v>
      </c>
      <c r="C14" s="40" t="str">
        <f>VLOOKUP(A14,Materiales3[],4,FALSE)</f>
        <v>ML</v>
      </c>
      <c r="D14" s="181">
        <f>2*1.05</f>
        <v>2.1</v>
      </c>
      <c r="E14" s="40">
        <f>VLOOKUP(A14,Materiales3[],5,FALSE)*D14</f>
        <v>1.8375000000000001</v>
      </c>
      <c r="F14" s="42">
        <f>VLOOKUP(A14,Materiales3[],6,FALSE)</f>
        <v>0</v>
      </c>
      <c r="G14" s="42">
        <f t="shared" si="0"/>
        <v>0</v>
      </c>
    </row>
    <row r="15" spans="1:7" ht="13">
      <c r="D15" s="47"/>
      <c r="E15" s="47"/>
      <c r="F15" s="48" t="s">
        <v>654</v>
      </c>
      <c r="G15" s="49">
        <f>SUM(G8:G14)</f>
        <v>0</v>
      </c>
    </row>
    <row r="16" spans="1:7">
      <c r="G16" s="73"/>
    </row>
    <row r="17" spans="1:7" ht="13">
      <c r="B17" s="50" t="s">
        <v>655</v>
      </c>
      <c r="G17" s="74"/>
    </row>
    <row r="18" spans="1:7" ht="13">
      <c r="A18" s="88" t="s">
        <v>138</v>
      </c>
      <c r="B18" s="37" t="s">
        <v>19</v>
      </c>
      <c r="C18" s="38" t="s">
        <v>665</v>
      </c>
      <c r="D18" s="38" t="s">
        <v>656</v>
      </c>
      <c r="E18" s="38"/>
      <c r="F18" s="38" t="s">
        <v>21</v>
      </c>
      <c r="G18" s="38" t="s">
        <v>286</v>
      </c>
    </row>
    <row r="19" spans="1:7" ht="14.5">
      <c r="A19" s="89">
        <v>1</v>
      </c>
      <c r="B19" s="43" t="str">
        <f>VLOOKUP(A19,Equipoyherramienta[],2,FALSE)</f>
        <v>Herramienta menor</v>
      </c>
      <c r="C19" s="44" t="str">
        <f>VLOOKUP(A19,Equipoyherramienta[],3,FALSE)</f>
        <v>UN</v>
      </c>
      <c r="D19" s="51">
        <f>VLOOKUP(A19,Equipoyherramienta[],4,FALSE)</f>
        <v>0</v>
      </c>
      <c r="E19" s="51"/>
      <c r="F19" s="71">
        <f>+RENDIMIENTOS!C33</f>
        <v>5</v>
      </c>
      <c r="G19" s="51">
        <f>ROUND(D19/F19,0)</f>
        <v>0</v>
      </c>
    </row>
    <row r="20" spans="1:7">
      <c r="B20" s="43"/>
      <c r="C20" s="44"/>
      <c r="D20" s="46"/>
      <c r="E20" s="46"/>
      <c r="F20" s="52"/>
      <c r="G20" s="53"/>
    </row>
    <row r="21" spans="1:7">
      <c r="B21" s="43"/>
      <c r="C21" s="44"/>
      <c r="D21" s="46"/>
      <c r="E21" s="46"/>
      <c r="F21" s="52"/>
      <c r="G21" s="53"/>
    </row>
    <row r="22" spans="1:7" ht="13">
      <c r="D22" s="47"/>
      <c r="E22" s="47"/>
      <c r="F22" s="48" t="s">
        <v>654</v>
      </c>
      <c r="G22" s="49">
        <f>SUM(G19:G21)</f>
        <v>0</v>
      </c>
    </row>
    <row r="23" spans="1:7" ht="13">
      <c r="D23" s="47"/>
      <c r="E23" s="47"/>
      <c r="F23" s="47"/>
      <c r="G23" s="54"/>
    </row>
    <row r="24" spans="1:7" ht="13">
      <c r="B24" s="36" t="s">
        <v>657</v>
      </c>
      <c r="G24" s="55"/>
    </row>
    <row r="25" spans="1:7" ht="13">
      <c r="A25" s="88" t="s">
        <v>138</v>
      </c>
      <c r="B25" s="37" t="s">
        <v>19</v>
      </c>
      <c r="C25" s="38" t="s">
        <v>284</v>
      </c>
      <c r="D25" s="38" t="s">
        <v>410</v>
      </c>
      <c r="E25" s="38"/>
      <c r="F25" s="38" t="s">
        <v>666</v>
      </c>
      <c r="G25" s="56" t="s">
        <v>286</v>
      </c>
    </row>
    <row r="26" spans="1:7" ht="52.9" customHeight="1">
      <c r="A26" s="89">
        <v>6</v>
      </c>
      <c r="B26" s="57" t="str">
        <f>VLOOKUP(A26,Transp.[],2,FALSE)</f>
        <v>Carga terrestre desde Barranquilla hasta Usuario, incluye cargues, descargues, cruces de río, transporte semoviente, transporte en vehículo de carga pesada y cualquier otro tranposte.</v>
      </c>
      <c r="C26" s="40" t="s">
        <v>667</v>
      </c>
      <c r="D26" s="41">
        <f>SUM(E8:E14)</f>
        <v>15.868299999999998</v>
      </c>
      <c r="E26" s="41"/>
      <c r="F26" s="59">
        <f>VLOOKUP(A26,Transp.[],6,FALSE)</f>
        <v>0</v>
      </c>
      <c r="G26" s="59">
        <f>D26*F26</f>
        <v>0</v>
      </c>
    </row>
    <row r="27" spans="1:7" ht="13.15" customHeight="1">
      <c r="A27" s="89"/>
      <c r="B27" s="57"/>
      <c r="C27" s="40"/>
      <c r="D27" s="41"/>
      <c r="E27" s="41"/>
      <c r="F27" s="59"/>
      <c r="G27" s="59"/>
    </row>
    <row r="28" spans="1:7" ht="13.15" customHeight="1">
      <c r="A28" s="89"/>
      <c r="B28" s="57"/>
      <c r="C28" s="40"/>
      <c r="D28" s="41"/>
      <c r="E28" s="41"/>
      <c r="F28" s="59"/>
      <c r="G28" s="59"/>
    </row>
    <row r="29" spans="1:7" ht="13">
      <c r="D29" s="47"/>
      <c r="E29" s="47"/>
      <c r="F29" s="61" t="s">
        <v>654</v>
      </c>
      <c r="G29" s="49">
        <f>SUM(G26:G28)</f>
        <v>0</v>
      </c>
    </row>
    <row r="31" spans="1:7" ht="13">
      <c r="B31" s="36" t="s">
        <v>661</v>
      </c>
      <c r="D31" s="62"/>
      <c r="E31" s="62"/>
      <c r="F31" s="63"/>
      <c r="G31" s="55"/>
    </row>
    <row r="32" spans="1:7" s="47" customFormat="1" ht="13">
      <c r="A32" s="88" t="s">
        <v>138</v>
      </c>
      <c r="B32" s="38" t="s">
        <v>19</v>
      </c>
      <c r="C32" s="38" t="s">
        <v>662</v>
      </c>
      <c r="D32" s="38" t="s">
        <v>663</v>
      </c>
      <c r="E32" s="38"/>
      <c r="F32" s="38" t="s">
        <v>21</v>
      </c>
      <c r="G32" s="56" t="s">
        <v>286</v>
      </c>
    </row>
    <row r="33" spans="1:7" ht="14.5">
      <c r="A33" s="89">
        <v>1</v>
      </c>
      <c r="B33" s="64" t="str">
        <f>VLOOKUP(A33,ManoObra[],2,FALSE)</f>
        <v>Electricista</v>
      </c>
      <c r="C33" s="65">
        <f>VLOOKUP(A33,ManoObra[],8,FALSE)</f>
        <v>0</v>
      </c>
      <c r="D33" s="52">
        <f>+FP!E27</f>
        <v>0</v>
      </c>
      <c r="E33" s="52"/>
      <c r="F33" s="71">
        <f>F19</f>
        <v>5</v>
      </c>
      <c r="G33" s="51">
        <f>ROUND(C33*D33/F33,0)</f>
        <v>0</v>
      </c>
    </row>
    <row r="34" spans="1:7" ht="14.5">
      <c r="A34" s="89">
        <v>2</v>
      </c>
      <c r="B34" s="64" t="str">
        <f>VLOOKUP(A34,ManoObra[],2,FALSE)</f>
        <v>Ayudante</v>
      </c>
      <c r="C34" s="65">
        <f>VLOOKUP(A34,ManoObra[],8,FALSE)</f>
        <v>0</v>
      </c>
      <c r="D34" s="52">
        <f>+FP!E27</f>
        <v>0</v>
      </c>
      <c r="E34" s="52"/>
      <c r="F34" s="71">
        <f>F19</f>
        <v>5</v>
      </c>
      <c r="G34" s="51">
        <f>ROUND(C34*D34/F34,0)</f>
        <v>0</v>
      </c>
    </row>
    <row r="35" spans="1:7" ht="14.5">
      <c r="A35" s="89"/>
      <c r="B35" s="70"/>
      <c r="C35" s="65"/>
      <c r="D35" s="52"/>
      <c r="E35" s="52"/>
      <c r="F35" s="45"/>
      <c r="G35" s="51"/>
    </row>
    <row r="36" spans="1:7" ht="13">
      <c r="D36" s="47"/>
      <c r="E36" s="47"/>
      <c r="F36" s="61" t="s">
        <v>654</v>
      </c>
      <c r="G36" s="75">
        <f>SUM(G33:G35)</f>
        <v>0</v>
      </c>
    </row>
    <row r="37" spans="1:7" ht="13">
      <c r="D37" s="47"/>
      <c r="E37" s="47"/>
      <c r="G37" s="55"/>
    </row>
    <row r="38" spans="1:7" ht="12.75" customHeight="1">
      <c r="B38" s="47"/>
      <c r="D38" s="652" t="s">
        <v>664</v>
      </c>
      <c r="E38" s="654"/>
      <c r="F38" s="653"/>
      <c r="G38" s="66">
        <f>G15+G22+G29+G36</f>
        <v>0</v>
      </c>
    </row>
  </sheetData>
  <mergeCells count="3">
    <mergeCell ref="B1:G1"/>
    <mergeCell ref="B4:E4"/>
    <mergeCell ref="D38:F3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17AC-11B6-4EAC-9BD0-437BBB211564}">
  <sheetPr codeName="Hoja31">
    <tabColor theme="4" tint="0.59999389629810485"/>
    <pageSetUpPr fitToPage="1"/>
  </sheetPr>
  <dimension ref="A1:G49"/>
  <sheetViews>
    <sheetView showGridLines="0" view="pageBreakPreview" zoomScale="80" zoomScaleNormal="120" zoomScaleSheetLayoutView="80" workbookViewId="0">
      <selection activeCell="A4" sqref="A4:A49"/>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KW'!A10</f>
        <v>3.1.5</v>
      </c>
      <c r="D3" s="31"/>
      <c r="E3" s="31"/>
      <c r="F3" s="31"/>
      <c r="G3" s="32" t="s">
        <v>652</v>
      </c>
    </row>
    <row r="4" spans="1:7" ht="76.900000000000006" customHeight="1">
      <c r="B4" s="649" t="str">
        <f>+'PRES MR 5 KW'!B10</f>
        <v xml:space="preserve">Suministro, transporte e instalación de tablero principal en DC con cumplimiento RETIE, dimensiones 820x620x300, incluye barrajes de 340 A, protecciones de 200, 100 y 400 A 500VDC y cableado hacia arreglos de baterías e inversores. </v>
      </c>
      <c r="C4" s="655"/>
      <c r="D4" s="655"/>
      <c r="E4" s="656"/>
      <c r="G4" s="33" t="str">
        <f>+'PRES MR 5 KW'!C10</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25">
      <c r="A8" s="89">
        <v>177</v>
      </c>
      <c r="B8" s="69" t="str">
        <f>VLOOKUP(A8,Materiales3[],3,FALSE)</f>
        <v>Barraje de cobre tropicalizado de 350 A para 16 conexiones</v>
      </c>
      <c r="C8" s="40" t="str">
        <f>VLOOKUP(A8,Materiales3[],4,FALSE)</f>
        <v>UN</v>
      </c>
      <c r="D8" s="40">
        <v>3</v>
      </c>
      <c r="E8" s="40">
        <f>VLOOKUP(A8,Materiales3[],5,FALSE)*D8</f>
        <v>5.4</v>
      </c>
      <c r="F8" s="42">
        <f>VLOOKUP(A8,Materiales3[],6,FALSE)</f>
        <v>0</v>
      </c>
      <c r="G8" s="42">
        <f>D8*F8</f>
        <v>0</v>
      </c>
    </row>
    <row r="9" spans="1:7" ht="48" customHeight="1">
      <c r="A9" s="89">
        <v>73</v>
      </c>
      <c r="B9" s="69" t="str">
        <f>VLOOKUP(A9,Materiales3[],3,FALSE)</f>
        <v>Kit de barra de cobre para puesta tierra de 10 conectores con área transversal no menor a 21,14 mm2. Incluye aisladores y accesorios de sujeción</v>
      </c>
      <c r="C9" s="40" t="str">
        <f>VLOOKUP(A9,Materiales3[],4,FALSE)</f>
        <v>UN</v>
      </c>
      <c r="D9" s="40">
        <v>1</v>
      </c>
      <c r="E9" s="40">
        <f>VLOOKUP(A9,Materiales3[],5,FALSE)*D9</f>
        <v>0.5</v>
      </c>
      <c r="F9" s="42">
        <f>VLOOKUP(A9,Materiales3[],6,FALSE)</f>
        <v>0</v>
      </c>
      <c r="G9" s="42">
        <f>D9*F9</f>
        <v>0</v>
      </c>
    </row>
    <row r="10" spans="1:7" ht="14.5">
      <c r="A10" s="89">
        <v>137</v>
      </c>
      <c r="B10" s="69" t="str">
        <f>VLOOKUP(A10,Materiales3[],3,FALSE)</f>
        <v xml:space="preserve">Canaleta ranurada dexon 25 x 40 mm </v>
      </c>
      <c r="C10" s="40" t="str">
        <f>VLOOKUP(A10,Materiales3[],4,FALSE)</f>
        <v>ML</v>
      </c>
      <c r="D10" s="40">
        <v>2</v>
      </c>
      <c r="E10" s="40">
        <f>VLOOKUP(A10,Materiales3[],5,FALSE)*D10</f>
        <v>0.2</v>
      </c>
      <c r="F10" s="42">
        <f>VLOOKUP(A10,Materiales3[],6,FALSE)</f>
        <v>0</v>
      </c>
      <c r="G10" s="42">
        <f>D10*F10</f>
        <v>0</v>
      </c>
    </row>
    <row r="11" spans="1:7" ht="14.5">
      <c r="A11" s="89">
        <v>138</v>
      </c>
      <c r="B11" s="69" t="str">
        <f>VLOOKUP(A11,Materiales3[],3,FALSE)</f>
        <v>Cinta de amarre dexon 10 cm color blanco</v>
      </c>
      <c r="C11" s="40" t="str">
        <f>VLOOKUP(A11,Materiales3[],4,FALSE)</f>
        <v>UN</v>
      </c>
      <c r="D11" s="40">
        <v>15</v>
      </c>
      <c r="E11" s="40">
        <f>VLOOKUP(A11,Materiales3[],5,FALSE)*D11</f>
        <v>3</v>
      </c>
      <c r="F11" s="42">
        <f>VLOOKUP(A11,Materiales3[],6,FALSE)</f>
        <v>0</v>
      </c>
      <c r="G11" s="42">
        <f t="shared" ref="G11:G22" si="0">D11*F11</f>
        <v>0</v>
      </c>
    </row>
    <row r="12" spans="1:7" ht="40.9" customHeight="1">
      <c r="A12" s="89">
        <v>18</v>
      </c>
      <c r="B12" s="69" t="str">
        <f>VLOOKUP(A12,Materiales3[],3,FALSE)</f>
        <v>Gabinete eléctrico metálico con revestimiento eléctrostatico de dimensiones 820x620x300 IP66 Doble fondo.</v>
      </c>
      <c r="C12" s="40" t="str">
        <f>VLOOKUP(A12,Materiales3[],4,FALSE)</f>
        <v>UN</v>
      </c>
      <c r="D12" s="40">
        <v>1</v>
      </c>
      <c r="E12" s="40">
        <f>VLOOKUP(A12,Materiales3[],5,FALSE)*D12</f>
        <v>20</v>
      </c>
      <c r="F12" s="42">
        <f>VLOOKUP(A12,Materiales3[],6,FALSE)</f>
        <v>0</v>
      </c>
      <c r="G12" s="42">
        <f t="shared" si="0"/>
        <v>0</v>
      </c>
    </row>
    <row r="13" spans="1:7" ht="14.5">
      <c r="A13" s="89">
        <v>140</v>
      </c>
      <c r="B13" s="69" t="str">
        <f>VLOOKUP(A13,Materiales3[],3,FALSE)</f>
        <v>Marcador tipo anillo ar2 (+, -, L, N,T) x 20 Piezas</v>
      </c>
      <c r="C13" s="40" t="str">
        <f>VLOOKUP(A13,Materiales3[],4,FALSE)</f>
        <v>JG</v>
      </c>
      <c r="D13" s="40">
        <v>1</v>
      </c>
      <c r="E13" s="40">
        <f>VLOOKUP(A13,Materiales3[],5,FALSE)*D13</f>
        <v>0.01</v>
      </c>
      <c r="F13" s="42">
        <f>VLOOKUP(A13,Materiales3[],6,FALSE)</f>
        <v>0</v>
      </c>
      <c r="G13" s="42">
        <f t="shared" si="0"/>
        <v>0</v>
      </c>
    </row>
    <row r="14" spans="1:7" ht="14.5">
      <c r="A14" s="89">
        <v>24</v>
      </c>
      <c r="B14" s="69" t="str">
        <f>VLOOKUP(A14,Materiales3[],3,FALSE)</f>
        <v>Borna para ponchar varios calibres y terminales</v>
      </c>
      <c r="C14" s="40" t="str">
        <f>VLOOKUP(A14,Materiales3[],4,FALSE)</f>
        <v>UN</v>
      </c>
      <c r="D14" s="40">
        <v>24</v>
      </c>
      <c r="E14" s="40">
        <f>VLOOKUP(A14,Materiales3[],5,FALSE)*D14</f>
        <v>0.192</v>
      </c>
      <c r="F14" s="42">
        <f>VLOOKUP(A14,Materiales3[],6,FALSE)</f>
        <v>0</v>
      </c>
      <c r="G14" s="42">
        <f t="shared" si="0"/>
        <v>0</v>
      </c>
    </row>
    <row r="15" spans="1:7" ht="14.5">
      <c r="A15" s="89">
        <v>141</v>
      </c>
      <c r="B15" s="69" t="str">
        <f>VLOOKUP(A15,Materiales3[],3,FALSE)</f>
        <v>Tornillo autoperforante de cabeza estrella 1/4" x 1/4"</v>
      </c>
      <c r="C15" s="40" t="str">
        <f>VLOOKUP(A15,Materiales3[],4,FALSE)</f>
        <v>UN</v>
      </c>
      <c r="D15" s="40">
        <v>18</v>
      </c>
      <c r="E15" s="40">
        <f>VLOOKUP(A15,Materiales3[],5,FALSE)*D15</f>
        <v>0.09</v>
      </c>
      <c r="F15" s="42">
        <f>VLOOKUP(A15,Materiales3[],6,FALSE)</f>
        <v>0</v>
      </c>
      <c r="G15" s="42">
        <f t="shared" si="0"/>
        <v>0</v>
      </c>
    </row>
    <row r="16" spans="1:7" ht="14.5">
      <c r="A16" s="89">
        <v>10</v>
      </c>
      <c r="B16" s="69" t="str">
        <f>VLOOKUP(A16,Materiales3[],3,FALSE)</f>
        <v>Riel DIN 35 mm x 7.5 mm</v>
      </c>
      <c r="C16" s="40" t="str">
        <f>VLOOKUP(A16,Materiales3[],4,FALSE)</f>
        <v>ML</v>
      </c>
      <c r="D16" s="40">
        <v>2</v>
      </c>
      <c r="E16" s="40">
        <f>VLOOKUP(A16,Materiales3[],5,FALSE)*D16</f>
        <v>0.6</v>
      </c>
      <c r="F16" s="42">
        <f>VLOOKUP(A16,Materiales3[],6,FALSE)</f>
        <v>0</v>
      </c>
      <c r="G16" s="42">
        <f t="shared" si="0"/>
        <v>0</v>
      </c>
    </row>
    <row r="17" spans="1:7" ht="14.5">
      <c r="A17" s="89">
        <v>25</v>
      </c>
      <c r="B17" s="69" t="str">
        <f>VLOOKUP(A17,Materiales3[],3,FALSE)</f>
        <v>Tubo termoencogible. Distintos calibres, distintos colores</v>
      </c>
      <c r="C17" s="40" t="str">
        <f>VLOOKUP(A17,Materiales3[],4,FALSE)</f>
        <v>UN</v>
      </c>
      <c r="D17" s="40">
        <v>24</v>
      </c>
      <c r="E17" s="40">
        <f>VLOOKUP(A17,Materiales3[],5,FALSE)*D17</f>
        <v>0.192</v>
      </c>
      <c r="F17" s="42">
        <f>VLOOKUP(A17,Materiales3[],6,FALSE)</f>
        <v>0</v>
      </c>
      <c r="G17" s="42">
        <f t="shared" si="0"/>
        <v>0</v>
      </c>
    </row>
    <row r="18" spans="1:7" ht="14.5">
      <c r="A18" s="89">
        <v>23</v>
      </c>
      <c r="B18" s="69" t="str">
        <f>VLOOKUP(A18,Materiales3[],3,FALSE)</f>
        <v xml:space="preserve">Interruptor termomagnético 200A 2P 500 VDC 6 Ka </v>
      </c>
      <c r="C18" s="40" t="str">
        <f>VLOOKUP(A18,Materiales3[],4,FALSE)</f>
        <v>UN</v>
      </c>
      <c r="D18" s="40">
        <v>2</v>
      </c>
      <c r="E18" s="40">
        <f>VLOOKUP(A18,Materiales3[],5,FALSE)*D18</f>
        <v>1</v>
      </c>
      <c r="F18" s="42">
        <f>VLOOKUP(A18,Materiales3[],6,FALSE)</f>
        <v>0</v>
      </c>
      <c r="G18" s="42">
        <f t="shared" si="0"/>
        <v>0</v>
      </c>
    </row>
    <row r="19" spans="1:7" ht="14.5">
      <c r="A19" s="89">
        <v>20</v>
      </c>
      <c r="B19" s="69" t="str">
        <f>VLOOKUP(A19,Materiales3[],3,FALSE)</f>
        <v xml:space="preserve">Interruptor termomagnético 100A 2P 500 VDC 6 Ka </v>
      </c>
      <c r="C19" s="40" t="str">
        <f>VLOOKUP(A19,Materiales3[],4,FALSE)</f>
        <v>UN</v>
      </c>
      <c r="D19" s="40">
        <v>1</v>
      </c>
      <c r="E19" s="40">
        <f>VLOOKUP(A19,Materiales3[],5,FALSE)*D19</f>
        <v>0.4</v>
      </c>
      <c r="F19" s="42">
        <f>VLOOKUP(A19,Materiales3[],6,FALSE)</f>
        <v>0</v>
      </c>
      <c r="G19" s="42">
        <f t="shared" si="0"/>
        <v>0</v>
      </c>
    </row>
    <row r="20" spans="1:7" ht="14.5">
      <c r="A20" s="89">
        <v>466</v>
      </c>
      <c r="B20" s="69" t="str">
        <f>VLOOKUP(A20,Materiales3[],3,FALSE)</f>
        <v xml:space="preserve">Interruptor termomagnético 400A 2P 500 VDC 6 Ka </v>
      </c>
      <c r="C20" s="40" t="str">
        <f>VLOOKUP(A20,Materiales3[],4,FALSE)</f>
        <v>UN</v>
      </c>
      <c r="D20" s="40">
        <v>1</v>
      </c>
      <c r="E20" s="40">
        <f>VLOOKUP(A20,Materiales3[],5,FALSE)*D20</f>
        <v>1.2</v>
      </c>
      <c r="F20" s="42">
        <f>VLOOKUP(A20,Materiales3[],6,FALSE)</f>
        <v>0</v>
      </c>
      <c r="G20" s="42">
        <f t="shared" ref="G20" si="1">D20*F20</f>
        <v>0</v>
      </c>
    </row>
    <row r="21" spans="1:7" ht="14.5">
      <c r="A21" s="89">
        <v>239</v>
      </c>
      <c r="B21" s="69" t="str">
        <f>VLOOKUP(A21,Materiales3[],3,FALSE)</f>
        <v>Cable Cu THHN 1/0 AWG</v>
      </c>
      <c r="C21" s="40" t="str">
        <f>VLOOKUP(A21,Materiales3[],4,FALSE)</f>
        <v>ML</v>
      </c>
      <c r="D21" s="40">
        <f>2*2.5*1.05</f>
        <v>5.25</v>
      </c>
      <c r="E21" s="40">
        <f>VLOOKUP(A21,Materiales3[],5,FALSE)*D21</f>
        <v>2.8770000000000002</v>
      </c>
      <c r="F21" s="42">
        <f>VLOOKUP(A21,Materiales3[],6,FALSE)</f>
        <v>0</v>
      </c>
      <c r="G21" s="42">
        <f t="shared" si="0"/>
        <v>0</v>
      </c>
    </row>
    <row r="22" spans="1:7" ht="14.5">
      <c r="A22" s="4">
        <v>246</v>
      </c>
      <c r="B22" s="69" t="str">
        <f>VLOOKUP(A22,Materiales3[],3,FALSE)</f>
        <v>Cable Cu THHN 8 AWG</v>
      </c>
      <c r="C22" s="40" t="str">
        <f>VLOOKUP(A22,Materiales3[],4,FALSE)</f>
        <v>ML</v>
      </c>
      <c r="D22" s="40">
        <f>1*2.5*1.05</f>
        <v>2.625</v>
      </c>
      <c r="E22" s="40">
        <f>VLOOKUP(A22,Materiales3[],5,FALSE)*D22</f>
        <v>0.252</v>
      </c>
      <c r="F22" s="42">
        <f>VLOOKUP(A22,Materiales3[],6,FALSE)</f>
        <v>0</v>
      </c>
      <c r="G22" s="42">
        <f t="shared" si="0"/>
        <v>0</v>
      </c>
    </row>
    <row r="23" spans="1:7" ht="14.5">
      <c r="A23" s="4">
        <v>402</v>
      </c>
      <c r="B23" s="69" t="str">
        <f>VLOOKUP(A23,Materiales3[],3,FALSE)</f>
        <v>Cable Cu THHN 4/0 AWG</v>
      </c>
      <c r="C23" s="40" t="str">
        <f>VLOOKUP(A23,Materiales3[],4,FALSE)</f>
        <v>ML</v>
      </c>
      <c r="D23" s="40">
        <f>2*2*2.5*1.05</f>
        <v>10.5</v>
      </c>
      <c r="E23" s="40">
        <f>VLOOKUP(A23,Materiales3[],5,FALSE)*D23</f>
        <v>10.8255</v>
      </c>
      <c r="F23" s="42">
        <f>VLOOKUP(A23,Materiales3[],6,FALSE)</f>
        <v>0</v>
      </c>
      <c r="G23" s="42">
        <f t="shared" ref="G23" si="2">D23*F23</f>
        <v>0</v>
      </c>
    </row>
    <row r="24" spans="1:7" ht="14.5">
      <c r="A24" s="4">
        <v>238</v>
      </c>
      <c r="B24" s="69" t="str">
        <f>VLOOKUP(A24,Materiales3[],3,FALSE)</f>
        <v>Cable Cu THHN 2 AWG</v>
      </c>
      <c r="C24" s="40" t="str">
        <f>VLOOKUP(A24,Materiales3[],4,FALSE)</f>
        <v>ML</v>
      </c>
      <c r="D24" s="40">
        <f>1*2.5*1.05</f>
        <v>2.625</v>
      </c>
      <c r="E24" s="40">
        <f>VLOOKUP(A24,Materiales3[],5,FALSE)*D24</f>
        <v>0.91874999999999996</v>
      </c>
      <c r="F24" s="42">
        <f>VLOOKUP(A24,Materiales3[],6,FALSE)</f>
        <v>0</v>
      </c>
      <c r="G24" s="42">
        <f t="shared" ref="G24" si="3">D24*F24</f>
        <v>0</v>
      </c>
    </row>
    <row r="25" spans="1:7" ht="14.5">
      <c r="A25" s="4">
        <v>238</v>
      </c>
      <c r="B25" s="69" t="str">
        <f>VLOOKUP(A25,Materiales3[],3,FALSE)</f>
        <v>Cable Cu THHN 2 AWG</v>
      </c>
      <c r="C25" s="40" t="str">
        <f>VLOOKUP(A25,Materiales3[],4,FALSE)</f>
        <v>ML</v>
      </c>
      <c r="D25" s="40">
        <f>0.5*1.05</f>
        <v>0.52500000000000002</v>
      </c>
      <c r="E25" s="40">
        <f>VLOOKUP(A25,Materiales3[],5,FALSE)*D25</f>
        <v>0.18375</v>
      </c>
      <c r="F25" s="42">
        <f>VLOOKUP(A25,Materiales3[],6,FALSE)</f>
        <v>0</v>
      </c>
      <c r="G25" s="42">
        <f t="shared" ref="G25" si="4">D25*F25</f>
        <v>0</v>
      </c>
    </row>
    <row r="26" spans="1:7" ht="13">
      <c r="D26" s="47"/>
      <c r="E26" s="47"/>
      <c r="F26" s="48" t="s">
        <v>654</v>
      </c>
      <c r="G26" s="49">
        <f>SUM(G8:G25)</f>
        <v>0</v>
      </c>
    </row>
    <row r="27" spans="1:7">
      <c r="G27" s="73"/>
    </row>
    <row r="28" spans="1:7" ht="13">
      <c r="B28" s="50" t="s">
        <v>655</v>
      </c>
      <c r="G28" s="74"/>
    </row>
    <row r="29" spans="1:7" ht="13">
      <c r="A29" s="88" t="s">
        <v>138</v>
      </c>
      <c r="B29" s="37" t="s">
        <v>19</v>
      </c>
      <c r="C29" s="38" t="s">
        <v>665</v>
      </c>
      <c r="D29" s="38" t="s">
        <v>656</v>
      </c>
      <c r="E29" s="38"/>
      <c r="F29" s="38" t="s">
        <v>21</v>
      </c>
      <c r="G29" s="38" t="s">
        <v>286</v>
      </c>
    </row>
    <row r="30" spans="1:7" ht="14.5">
      <c r="A30" s="89">
        <v>1</v>
      </c>
      <c r="B30" s="43" t="str">
        <f>VLOOKUP(A30,Equipoyherramienta[],2,FALSE)</f>
        <v>Herramienta menor</v>
      </c>
      <c r="C30" s="44" t="str">
        <f>VLOOKUP(A30,Equipoyherramienta[],3,FALSE)</f>
        <v>UN</v>
      </c>
      <c r="D30" s="51">
        <f>VLOOKUP(A30,Equipoyherramienta[],4,FALSE)</f>
        <v>0</v>
      </c>
      <c r="E30" s="51"/>
      <c r="F30" s="71">
        <f>+RENDIMIENTOS!C34</f>
        <v>1</v>
      </c>
      <c r="G30" s="51">
        <f>ROUND(D30/F30,0)</f>
        <v>0</v>
      </c>
    </row>
    <row r="31" spans="1:7">
      <c r="B31" s="43"/>
      <c r="C31" s="44"/>
      <c r="D31" s="46"/>
      <c r="E31" s="46"/>
      <c r="F31" s="52"/>
      <c r="G31" s="53"/>
    </row>
    <row r="32" spans="1:7">
      <c r="B32" s="43"/>
      <c r="C32" s="44"/>
      <c r="D32" s="46"/>
      <c r="E32" s="46"/>
      <c r="F32" s="52"/>
      <c r="G32" s="53"/>
    </row>
    <row r="33" spans="1:7" ht="13">
      <c r="D33" s="47"/>
      <c r="E33" s="47"/>
      <c r="F33" s="48" t="s">
        <v>654</v>
      </c>
      <c r="G33" s="49">
        <f>SUM(G30:G32)</f>
        <v>0</v>
      </c>
    </row>
    <row r="34" spans="1:7" ht="13">
      <c r="D34" s="47"/>
      <c r="E34" s="47"/>
      <c r="F34" s="47"/>
      <c r="G34" s="54"/>
    </row>
    <row r="35" spans="1:7" ht="13">
      <c r="B35" s="36" t="s">
        <v>657</v>
      </c>
      <c r="G35" s="55"/>
    </row>
    <row r="36" spans="1:7" ht="13">
      <c r="A36" s="88" t="s">
        <v>138</v>
      </c>
      <c r="B36" s="37" t="s">
        <v>19</v>
      </c>
      <c r="C36" s="38" t="s">
        <v>284</v>
      </c>
      <c r="D36" s="38" t="s">
        <v>410</v>
      </c>
      <c r="E36" s="38"/>
      <c r="F36" s="38" t="s">
        <v>666</v>
      </c>
      <c r="G36" s="56" t="s">
        <v>286</v>
      </c>
    </row>
    <row r="37" spans="1:7" ht="50">
      <c r="A37" s="89">
        <v>6</v>
      </c>
      <c r="B37" s="57" t="str">
        <f>VLOOKUP(A37,Transp.[],2,FALSE)</f>
        <v>Carga terrestre desde Barranquilla hasta Usuario, incluye cargues, descargues, cruces de río, transporte semoviente, transporte en vehículo de carga pesada y cualquier otro tranposte.</v>
      </c>
      <c r="C37" s="40" t="s">
        <v>667</v>
      </c>
      <c r="D37" s="41">
        <f>+SUM(E8:E25)</f>
        <v>47.841000000000015</v>
      </c>
      <c r="E37" s="41"/>
      <c r="F37" s="59">
        <f>VLOOKUP(A37,Transp.[],6,FALSE)</f>
        <v>0</v>
      </c>
      <c r="G37" s="59">
        <f>D37*F37</f>
        <v>0</v>
      </c>
    </row>
    <row r="38" spans="1:7" ht="13.15" customHeight="1">
      <c r="A38" s="89"/>
      <c r="B38" s="57"/>
      <c r="C38" s="40"/>
      <c r="D38" s="41"/>
      <c r="E38" s="41"/>
      <c r="F38" s="59"/>
      <c r="G38" s="59"/>
    </row>
    <row r="39" spans="1:7" ht="13.15" customHeight="1">
      <c r="A39" s="89"/>
      <c r="B39" s="57"/>
      <c r="C39" s="40"/>
      <c r="D39" s="41"/>
      <c r="E39" s="41"/>
      <c r="F39" s="59"/>
      <c r="G39" s="59"/>
    </row>
    <row r="40" spans="1:7" ht="13">
      <c r="D40" s="47"/>
      <c r="E40" s="47"/>
      <c r="F40" s="61" t="s">
        <v>654</v>
      </c>
      <c r="G40" s="49">
        <f>SUM(G37:G39)</f>
        <v>0</v>
      </c>
    </row>
    <row r="42" spans="1:7" ht="13">
      <c r="B42" s="36" t="s">
        <v>661</v>
      </c>
      <c r="D42" s="62"/>
      <c r="E42" s="62"/>
      <c r="F42" s="63"/>
      <c r="G42" s="55"/>
    </row>
    <row r="43" spans="1:7" s="47" customFormat="1" ht="13">
      <c r="A43" s="88" t="s">
        <v>138</v>
      </c>
      <c r="B43" s="38" t="s">
        <v>19</v>
      </c>
      <c r="C43" s="38" t="s">
        <v>662</v>
      </c>
      <c r="D43" s="38" t="s">
        <v>663</v>
      </c>
      <c r="E43" s="38"/>
      <c r="F43" s="38" t="s">
        <v>21</v>
      </c>
      <c r="G43" s="56" t="s">
        <v>286</v>
      </c>
    </row>
    <row r="44" spans="1:7" ht="14.5">
      <c r="A44" s="89">
        <v>1</v>
      </c>
      <c r="B44" s="64" t="str">
        <f>VLOOKUP(A44,ManoObra[],2,FALSE)</f>
        <v>Electricista</v>
      </c>
      <c r="C44" s="65">
        <f>VLOOKUP(A44,ManoObra[],8,FALSE)</f>
        <v>0</v>
      </c>
      <c r="D44" s="52">
        <f>+FP!E27</f>
        <v>0</v>
      </c>
      <c r="E44" s="52"/>
      <c r="F44" s="71">
        <f>F30</f>
        <v>1</v>
      </c>
      <c r="G44" s="51">
        <f>ROUND(C44*D44/F44,0)</f>
        <v>0</v>
      </c>
    </row>
    <row r="45" spans="1:7" ht="14.5">
      <c r="A45" s="89">
        <v>2</v>
      </c>
      <c r="B45" s="64" t="str">
        <f>VLOOKUP(A45,ManoObra[],2,FALSE)</f>
        <v>Ayudante</v>
      </c>
      <c r="C45" s="65">
        <f>VLOOKUP(A45,ManoObra[],8,FALSE)</f>
        <v>0</v>
      </c>
      <c r="D45" s="52">
        <f>+FP!E27</f>
        <v>0</v>
      </c>
      <c r="E45" s="52"/>
      <c r="F45" s="71">
        <f>F30</f>
        <v>1</v>
      </c>
      <c r="G45" s="51">
        <f>ROUND(C45*D45/F45,0)</f>
        <v>0</v>
      </c>
    </row>
    <row r="46" spans="1:7" ht="14.5">
      <c r="A46" s="89"/>
      <c r="B46" s="70"/>
      <c r="C46" s="65"/>
      <c r="D46" s="52"/>
      <c r="E46" s="52"/>
      <c r="F46" s="45"/>
      <c r="G46" s="51"/>
    </row>
    <row r="47" spans="1:7" ht="13">
      <c r="D47" s="47"/>
      <c r="E47" s="47"/>
      <c r="F47" s="61" t="s">
        <v>654</v>
      </c>
      <c r="G47" s="75">
        <f>SUM(G44:G46)</f>
        <v>0</v>
      </c>
    </row>
    <row r="48" spans="1:7" ht="13">
      <c r="D48" s="47"/>
      <c r="E48" s="47"/>
      <c r="G48" s="55"/>
    </row>
    <row r="49" spans="2:7" ht="12.75" customHeight="1">
      <c r="B49" s="47"/>
      <c r="D49" s="652" t="s">
        <v>664</v>
      </c>
      <c r="E49" s="654"/>
      <c r="F49" s="653"/>
      <c r="G49" s="66">
        <f>G26+G33+G40+G47</f>
        <v>0</v>
      </c>
    </row>
  </sheetData>
  <mergeCells count="3">
    <mergeCell ref="B1:G1"/>
    <mergeCell ref="B4:E4"/>
    <mergeCell ref="D49:F49"/>
  </mergeCells>
  <printOptions horizontalCentered="1"/>
  <pageMargins left="0.70866141732283472" right="0.70866141732283472" top="1.5748031496062993" bottom="0.98425196850393704" header="0.98425196850393704" footer="0.51181102362204722"/>
  <pageSetup scale="72" orientation="portrait" r:id="rId1"/>
  <headerFooter alignWithMargins="0">
    <oddHeader xml:space="preserve">&amp;C&amp;"Arial,Negrita"&amp;12ANÁLISIS DE PRECIOS UNITARIOS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C0F9-A192-4972-9F1A-BC241C88638E}">
  <sheetPr codeName="Hoja33">
    <tabColor theme="4" tint="0.59999389629810485"/>
    <pageSetUpPr fitToPage="1"/>
  </sheetPr>
  <dimension ref="A1:G47"/>
  <sheetViews>
    <sheetView showGridLines="0" view="pageBreakPreview" zoomScale="80" zoomScaleNormal="120" zoomScaleSheetLayoutView="80" workbookViewId="0">
      <selection activeCell="A4" sqref="A4:A45"/>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KW'!A11</f>
        <v>3.1.6</v>
      </c>
      <c r="D3" s="31"/>
      <c r="E3" s="31"/>
      <c r="F3" s="31"/>
      <c r="G3" s="32" t="s">
        <v>652</v>
      </c>
    </row>
    <row r="4" spans="1:7" ht="99.65" customHeight="1">
      <c r="B4" s="649" t="str">
        <f>+'PRES MR 5 KW'!B11</f>
        <v>Suministro, transporte e instalación de banco de baterías de 36,864 kWh a 51,2 V. Incluye rack de baterías, cables de interconexión y conexión al sistema de moniteoreo mediante protocolo CAN-BUS. las baterías de ion - litio tipo fosfato de hierro (LiFePO4) de ciclo profundo de 120 Ah - 51,2 VDC -  6.000 ciclos hasta el 80% DOD, libre de mantenimiento. Con BMS, puertos de comunicaciones,  vida útil mín de 15 años y 10 años de garantia.</v>
      </c>
      <c r="C4" s="655"/>
      <c r="D4" s="655"/>
      <c r="E4" s="656"/>
      <c r="G4" s="33" t="str">
        <f>+'PRES MR 5 KW'!C11</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43.15" customHeight="1">
      <c r="A8" s="89">
        <v>26</v>
      </c>
      <c r="B8" s="69" t="str">
        <f>VLOOKUP(A8,Materiales3[],3,FALSE)</f>
        <v>Batería de LiFePO4 6.1 kWh - 48V - 120 Ah,6000 ciclos con DOD 80%, incluido BMS</v>
      </c>
      <c r="C8" s="40" t="str">
        <f>VLOOKUP(A8,Materiales3[],4,FALSE)</f>
        <v>UN</v>
      </c>
      <c r="D8" s="41">
        <v>6</v>
      </c>
      <c r="E8" s="40">
        <f>VLOOKUP(A8,Materiales3[],5,FALSE)*D8</f>
        <v>270</v>
      </c>
      <c r="F8" s="42">
        <f>VLOOKUP(A8,Materiales3[],6,FALSE)</f>
        <v>0</v>
      </c>
      <c r="G8" s="42">
        <f>D8*F8</f>
        <v>0</v>
      </c>
    </row>
    <row r="9" spans="1:7" ht="14.5">
      <c r="A9" s="89">
        <v>27</v>
      </c>
      <c r="B9" s="69" t="str">
        <f>VLOOKUP(A9,Materiales3[],3,FALSE)</f>
        <v>Gabinete de Piso 40U (Ancho: 710 mm • Fondo: 990 mm)</v>
      </c>
      <c r="C9" s="40" t="str">
        <f>VLOOKUP(A9,Materiales3[],4,FALSE)</f>
        <v>UN</v>
      </c>
      <c r="D9" s="41">
        <v>1</v>
      </c>
      <c r="E9" s="40">
        <f>VLOOKUP(A9,Materiales3[],5,FALSE)*D9</f>
        <v>25</v>
      </c>
      <c r="F9" s="42">
        <f>VLOOKUP(A9,Materiales3[],6,FALSE)</f>
        <v>0</v>
      </c>
      <c r="G9" s="42">
        <f>D9*F9</f>
        <v>0</v>
      </c>
    </row>
    <row r="10" spans="1:7" ht="14.5">
      <c r="A10" s="89">
        <v>106</v>
      </c>
      <c r="B10" s="69" t="str">
        <f>VLOOKUP(A10,Materiales3[],3,FALSE)</f>
        <v>Conduit pvc tipo A - 2"</v>
      </c>
      <c r="C10" s="40" t="str">
        <f>VLOOKUP(A10,Materiales3[],4,FALSE)</f>
        <v>ML</v>
      </c>
      <c r="D10" s="41">
        <v>3</v>
      </c>
      <c r="E10" s="40">
        <f>VLOOKUP(A10,Materiales3[],5,FALSE)*D10</f>
        <v>2.1</v>
      </c>
      <c r="F10" s="42">
        <f>VLOOKUP(A10,Materiales3[],6,FALSE)</f>
        <v>0</v>
      </c>
      <c r="G10" s="42">
        <f>D10*F10</f>
        <v>0</v>
      </c>
    </row>
    <row r="11" spans="1:7" ht="14.5">
      <c r="A11" s="89">
        <v>108</v>
      </c>
      <c r="B11" s="69" t="str">
        <f>VLOOKUP(A11,Materiales3[],3,FALSE)</f>
        <v>Curva PVC 2"</v>
      </c>
      <c r="C11" s="40" t="str">
        <f>VLOOKUP(A11,Materiales3[],4,FALSE)</f>
        <v>UN</v>
      </c>
      <c r="D11" s="41">
        <v>2</v>
      </c>
      <c r="E11" s="40">
        <f>VLOOKUP(A11,Materiales3[],5,FALSE)*D11</f>
        <v>0.4</v>
      </c>
      <c r="F11" s="42">
        <f>VLOOKUP(A11,Materiales3[],6,FALSE)</f>
        <v>0</v>
      </c>
      <c r="G11" s="42">
        <f t="shared" ref="G11:G12" si="0">D11*F11</f>
        <v>0</v>
      </c>
    </row>
    <row r="12" spans="1:7" ht="14.5">
      <c r="A12" s="89">
        <v>116</v>
      </c>
      <c r="B12" s="69" t="str">
        <f>VLOOKUP(A12,Materiales3[],3,FALSE)</f>
        <v>Terminal PVC tipo A 2"</v>
      </c>
      <c r="C12" s="40" t="str">
        <f>VLOOKUP(A12,Materiales3[],4,FALSE)</f>
        <v>UN</v>
      </c>
      <c r="D12" s="41">
        <v>2</v>
      </c>
      <c r="E12" s="40">
        <f>VLOOKUP(A12,Materiales3[],5,FALSE)*D12</f>
        <v>0.2</v>
      </c>
      <c r="F12" s="42">
        <f>VLOOKUP(A12,Materiales3[],6,FALSE)</f>
        <v>0</v>
      </c>
      <c r="G12" s="42">
        <f t="shared" si="0"/>
        <v>0</v>
      </c>
    </row>
    <row r="13" spans="1:7" ht="25">
      <c r="A13" s="89">
        <v>431</v>
      </c>
      <c r="B13" s="69" t="str">
        <f>VLOOKUP(A13,Materiales3[],3,FALSE)</f>
        <v>Barraje de cobre tropicalizado de 900 A para 16 conexiones</v>
      </c>
      <c r="C13" s="40" t="str">
        <f>VLOOKUP(A13,Materiales3[],4,FALSE)</f>
        <v>UN</v>
      </c>
      <c r="D13" s="41">
        <v>3</v>
      </c>
      <c r="E13" s="40">
        <f>VLOOKUP(A13,Materiales3[],5,FALSE)*D13</f>
        <v>12.600000000000001</v>
      </c>
      <c r="F13" s="42">
        <f>VLOOKUP(A13,Materiales3[],6,FALSE)</f>
        <v>0</v>
      </c>
      <c r="G13" s="42">
        <f t="shared" ref="G13" si="1">D13*F13</f>
        <v>0</v>
      </c>
    </row>
    <row r="14" spans="1:7" ht="25">
      <c r="A14" s="89">
        <v>162</v>
      </c>
      <c r="B14" s="69" t="str">
        <f>VLOOKUP(A14,Materiales3[],3,FALSE)</f>
        <v>Barraje de cobre tropicalizado de 120 A para 16 conexiones</v>
      </c>
      <c r="C14" s="40" t="str">
        <f>VLOOKUP(A14,Materiales3[],4,FALSE)</f>
        <v>UN</v>
      </c>
      <c r="D14" s="41">
        <v>3</v>
      </c>
      <c r="E14" s="40">
        <f>VLOOKUP(A14,Materiales3[],5,FALSE)*D14</f>
        <v>1.5</v>
      </c>
      <c r="F14" s="42">
        <f>VLOOKUP(A14,Materiales3[],6,FALSE)</f>
        <v>0</v>
      </c>
      <c r="G14" s="42">
        <f t="shared" ref="G14" si="2">D14*F14</f>
        <v>0</v>
      </c>
    </row>
    <row r="15" spans="1:7" ht="14.5">
      <c r="A15" s="89">
        <v>466</v>
      </c>
      <c r="B15" s="69" t="str">
        <f>VLOOKUP(A15,Materiales3[],3,FALSE)</f>
        <v xml:space="preserve">Interruptor termomagnético 400A 2P 500 VDC 6 Ka </v>
      </c>
      <c r="C15" s="40" t="str">
        <f>VLOOKUP(A15,Materiales3[],4,FALSE)</f>
        <v>UN</v>
      </c>
      <c r="D15" s="41">
        <v>1</v>
      </c>
      <c r="E15" s="40">
        <f>VLOOKUP(A15,Materiales3[],5,FALSE)*D15</f>
        <v>1.2</v>
      </c>
      <c r="F15" s="42">
        <f>VLOOKUP(A15,Materiales3[],6,FALSE)</f>
        <v>0</v>
      </c>
      <c r="G15" s="42">
        <f t="shared" ref="G15" si="3">D15*F15</f>
        <v>0</v>
      </c>
    </row>
    <row r="16" spans="1:7" ht="14.5">
      <c r="A16" s="89">
        <v>402</v>
      </c>
      <c r="B16" s="69" t="str">
        <f>VLOOKUP(A16,Materiales3[],3,FALSE)</f>
        <v>Cable Cu THHN 4/0 AWG</v>
      </c>
      <c r="C16" s="40" t="str">
        <f>VLOOKUP(A16,Materiales3[],4,FALSE)</f>
        <v>ML</v>
      </c>
      <c r="D16" s="60">
        <f>2*0.5*1.05</f>
        <v>1.05</v>
      </c>
      <c r="E16" s="40">
        <f>VLOOKUP(A16,Materiales3[],5,FALSE)*D16</f>
        <v>1.0825499999999999</v>
      </c>
      <c r="F16" s="42">
        <f>VLOOKUP(A16,Materiales3[],6,FALSE)</f>
        <v>0</v>
      </c>
      <c r="G16" s="42">
        <f t="shared" ref="G16:G23" si="4">D16*F16</f>
        <v>0</v>
      </c>
    </row>
    <row r="17" spans="1:7" ht="14.5">
      <c r="A17" s="89">
        <v>238</v>
      </c>
      <c r="B17" s="69" t="str">
        <f>VLOOKUP(A17,Materiales3[],3,FALSE)</f>
        <v>Cable Cu THHN 2 AWG</v>
      </c>
      <c r="C17" s="40" t="str">
        <f>VLOOKUP(A17,Materiales3[],4,FALSE)</f>
        <v>ML</v>
      </c>
      <c r="D17" s="60">
        <f>1*0.5*1.05</f>
        <v>0.52500000000000002</v>
      </c>
      <c r="E17" s="40">
        <f>VLOOKUP(A17,Materiales3[],5,FALSE)*D17</f>
        <v>0.18375</v>
      </c>
      <c r="F17" s="42">
        <f>VLOOKUP(A17,Materiales3[],6,FALSE)</f>
        <v>0</v>
      </c>
      <c r="G17" s="42">
        <f t="shared" si="4"/>
        <v>0</v>
      </c>
    </row>
    <row r="18" spans="1:7" ht="14.5">
      <c r="A18" s="89">
        <v>56</v>
      </c>
      <c r="B18" s="69" t="str">
        <f>VLOOKUP(A18,Materiales3[],3,FALSE)</f>
        <v>Cable UTP Cat6</v>
      </c>
      <c r="C18" s="40" t="str">
        <f>VLOOKUP(A18,Materiales3[],4,FALSE)</f>
        <v>ML</v>
      </c>
      <c r="D18" s="41">
        <f>2*6</f>
        <v>12</v>
      </c>
      <c r="E18" s="40">
        <f>VLOOKUP(A18,Materiales3[],5,FALSE)*D18</f>
        <v>0.38400000000000001</v>
      </c>
      <c r="F18" s="42">
        <f>VLOOKUP(A18,Materiales3[],6,FALSE)</f>
        <v>0</v>
      </c>
      <c r="G18" s="42">
        <f t="shared" si="4"/>
        <v>0</v>
      </c>
    </row>
    <row r="19" spans="1:7" ht="14.5">
      <c r="A19" s="89">
        <v>57</v>
      </c>
      <c r="B19" s="69" t="str">
        <f>VLOOKUP(A19,Materiales3[],3,FALSE)</f>
        <v>Conector RJ45</v>
      </c>
      <c r="C19" s="40" t="str">
        <f>VLOOKUP(A19,Materiales3[],4,FALSE)</f>
        <v>UN</v>
      </c>
      <c r="D19" s="41">
        <v>6</v>
      </c>
      <c r="E19" s="40">
        <f>VLOOKUP(A19,Materiales3[],5,FALSE)*D19</f>
        <v>0.06</v>
      </c>
      <c r="F19" s="42">
        <f>VLOOKUP(A19,Materiales3[],6,FALSE)</f>
        <v>0</v>
      </c>
      <c r="G19" s="42">
        <f t="shared" si="4"/>
        <v>0</v>
      </c>
    </row>
    <row r="20" spans="1:7" ht="14.5">
      <c r="A20" s="89">
        <v>29</v>
      </c>
      <c r="B20" s="69" t="str">
        <f>VLOOKUP(A20,Materiales3[],3,FALSE)</f>
        <v>Terminales para batería. Par</v>
      </c>
      <c r="C20" s="40" t="str">
        <f>VLOOKUP(A20,Materiales3[],4,FALSE)</f>
        <v>JG</v>
      </c>
      <c r="D20" s="41">
        <v>6</v>
      </c>
      <c r="E20" s="40">
        <f>VLOOKUP(A20,Materiales3[],5,FALSE)*D20</f>
        <v>0.12</v>
      </c>
      <c r="F20" s="42">
        <f>VLOOKUP(A20,Materiales3[],6,FALSE)</f>
        <v>0</v>
      </c>
      <c r="G20" s="42">
        <f t="shared" si="4"/>
        <v>0</v>
      </c>
    </row>
    <row r="21" spans="1:7" ht="14.5">
      <c r="A21" s="89">
        <v>237</v>
      </c>
      <c r="B21" s="69" t="str">
        <f>VLOOKUP(A21,Materiales3[],3,FALSE)</f>
        <v>Cable Cu THHN 4 AWG</v>
      </c>
      <c r="C21" s="40" t="str">
        <f>VLOOKUP(A21,Materiales3[],4,FALSE)</f>
        <v>ML</v>
      </c>
      <c r="D21" s="60">
        <f>2*6*0.25*1.05</f>
        <v>3.1500000000000004</v>
      </c>
      <c r="E21" s="40">
        <f>VLOOKUP(A21,Materiales3[],5,FALSE)*D21</f>
        <v>0.74025000000000007</v>
      </c>
      <c r="F21" s="42">
        <f>VLOOKUP(A21,Materiales3[],6,FALSE)</f>
        <v>0</v>
      </c>
      <c r="G21" s="42">
        <f t="shared" si="4"/>
        <v>0</v>
      </c>
    </row>
    <row r="22" spans="1:7" ht="14.5">
      <c r="A22" s="89">
        <v>237</v>
      </c>
      <c r="B22" s="69" t="str">
        <f>VLOOKUP(A22,Materiales3[],3,FALSE)</f>
        <v>Cable Cu THHN 4 AWG</v>
      </c>
      <c r="C22" s="40" t="str">
        <f>VLOOKUP(A22,Materiales3[],4,FALSE)</f>
        <v>ML</v>
      </c>
      <c r="D22" s="60">
        <f>1*6*0.25*1.05</f>
        <v>1.5750000000000002</v>
      </c>
      <c r="E22" s="40">
        <f>VLOOKUP(A22,Materiales3[],5,FALSE)*D22</f>
        <v>0.37012500000000004</v>
      </c>
      <c r="F22" s="42">
        <f>VLOOKUP(A22,Materiales3[],6,FALSE)</f>
        <v>0</v>
      </c>
      <c r="G22" s="42">
        <f t="shared" si="4"/>
        <v>0</v>
      </c>
    </row>
    <row r="23" spans="1:7" ht="14.5">
      <c r="A23" s="89">
        <v>238</v>
      </c>
      <c r="B23" s="69" t="str">
        <f>VLOOKUP(A23,Materiales3[],3,FALSE)</f>
        <v>Cable Cu THHN 2 AWG</v>
      </c>
      <c r="C23" s="40" t="str">
        <f>VLOOKUP(A23,Materiales3[],4,FALSE)</f>
        <v>ML</v>
      </c>
      <c r="D23" s="60">
        <f>1*6*0.25*1.05+2</f>
        <v>3.5750000000000002</v>
      </c>
      <c r="E23" s="40">
        <f>VLOOKUP(A23,Materiales3[],5,FALSE)*D23</f>
        <v>1.25125</v>
      </c>
      <c r="F23" s="42">
        <f>VLOOKUP(A23,Materiales3[],6,FALSE)</f>
        <v>0</v>
      </c>
      <c r="G23" s="42">
        <f t="shared" si="4"/>
        <v>0</v>
      </c>
    </row>
    <row r="24" spans="1:7" ht="13">
      <c r="D24" s="47"/>
      <c r="E24" s="47"/>
      <c r="F24" s="48" t="s">
        <v>654</v>
      </c>
      <c r="G24" s="49">
        <f>SUM(G8:G23)</f>
        <v>0</v>
      </c>
    </row>
    <row r="25" spans="1:7">
      <c r="G25" s="73"/>
    </row>
    <row r="26" spans="1:7" ht="13">
      <c r="B26" s="50" t="s">
        <v>655</v>
      </c>
      <c r="G26" s="74"/>
    </row>
    <row r="27" spans="1:7" ht="13">
      <c r="A27" s="88" t="s">
        <v>138</v>
      </c>
      <c r="B27" s="37" t="s">
        <v>19</v>
      </c>
      <c r="C27" s="38" t="s">
        <v>665</v>
      </c>
      <c r="D27" s="38" t="s">
        <v>656</v>
      </c>
      <c r="E27" s="38"/>
      <c r="F27" s="38" t="s">
        <v>21</v>
      </c>
      <c r="G27" s="38" t="s">
        <v>286</v>
      </c>
    </row>
    <row r="28" spans="1:7" ht="14.5">
      <c r="A28" s="89">
        <v>1</v>
      </c>
      <c r="B28" s="43" t="str">
        <f>VLOOKUP(A28,Equipoyherramienta[],2,FALSE)</f>
        <v>Herramienta menor</v>
      </c>
      <c r="C28" s="44" t="str">
        <f>VLOOKUP(A28,Equipoyherramienta[],3,FALSE)</f>
        <v>UN</v>
      </c>
      <c r="D28" s="51">
        <f>VLOOKUP(A28,Equipoyherramienta[],4,FALSE)</f>
        <v>0</v>
      </c>
      <c r="E28" s="51"/>
      <c r="F28" s="71">
        <f>+RENDIMIENTOS!C35</f>
        <v>1</v>
      </c>
      <c r="G28" s="51">
        <f>ROUND(D28/F28,0)</f>
        <v>0</v>
      </c>
    </row>
    <row r="29" spans="1:7">
      <c r="B29" s="43"/>
      <c r="C29" s="44"/>
      <c r="D29" s="46"/>
      <c r="E29" s="46"/>
      <c r="F29" s="52"/>
      <c r="G29" s="53"/>
    </row>
    <row r="30" spans="1:7">
      <c r="B30" s="43"/>
      <c r="C30" s="44"/>
      <c r="D30" s="46"/>
      <c r="E30" s="46"/>
      <c r="F30" s="52"/>
      <c r="G30" s="53"/>
    </row>
    <row r="31" spans="1:7" ht="13">
      <c r="D31" s="47"/>
      <c r="E31" s="47"/>
      <c r="F31" s="48" t="s">
        <v>654</v>
      </c>
      <c r="G31" s="49">
        <f>SUM(G28:G30)</f>
        <v>0</v>
      </c>
    </row>
    <row r="32" spans="1:7" ht="13">
      <c r="D32" s="47"/>
      <c r="E32" s="47"/>
      <c r="F32" s="47"/>
      <c r="G32" s="54"/>
    </row>
    <row r="33" spans="1:7" ht="13">
      <c r="B33" s="36" t="s">
        <v>657</v>
      </c>
      <c r="G33" s="55"/>
    </row>
    <row r="34" spans="1:7" ht="13">
      <c r="A34" s="88" t="s">
        <v>138</v>
      </c>
      <c r="B34" s="37" t="s">
        <v>19</v>
      </c>
      <c r="C34" s="38" t="s">
        <v>284</v>
      </c>
      <c r="D34" s="38" t="s">
        <v>410</v>
      </c>
      <c r="E34" s="38"/>
      <c r="F34" s="38" t="s">
        <v>666</v>
      </c>
      <c r="G34" s="56" t="s">
        <v>286</v>
      </c>
    </row>
    <row r="35" spans="1:7" ht="50">
      <c r="A35" s="89">
        <v>6</v>
      </c>
      <c r="B35" s="57" t="str">
        <f>VLOOKUP(A35,Transp.[],2,FALSE)</f>
        <v>Carga terrestre desde Barranquilla hasta Usuario, incluye cargues, descargues, cruces de río, transporte semoviente, transporte en vehículo de carga pesada y cualquier otro tranposte.</v>
      </c>
      <c r="C35" s="40" t="s">
        <v>667</v>
      </c>
      <c r="D35" s="41">
        <f>SUM(E8:E23)</f>
        <v>317.19192500000003</v>
      </c>
      <c r="E35" s="41"/>
      <c r="F35" s="59">
        <f>VLOOKUP(A35,Transp.[],6,FALSE)</f>
        <v>0</v>
      </c>
      <c r="G35" s="59">
        <f>D35*F35</f>
        <v>0</v>
      </c>
    </row>
    <row r="36" spans="1:7" ht="13.15" customHeight="1">
      <c r="A36" s="89"/>
      <c r="B36" s="57"/>
      <c r="C36" s="40"/>
      <c r="D36" s="41"/>
      <c r="E36" s="41"/>
      <c r="F36" s="59"/>
      <c r="G36" s="59"/>
    </row>
    <row r="37" spans="1:7" ht="13.15" customHeight="1">
      <c r="A37" s="89"/>
      <c r="B37" s="57"/>
      <c r="C37" s="40"/>
      <c r="D37" s="41"/>
      <c r="E37" s="41"/>
      <c r="F37" s="59"/>
      <c r="G37" s="59"/>
    </row>
    <row r="38" spans="1:7" ht="13">
      <c r="D38" s="47"/>
      <c r="E38" s="47"/>
      <c r="F38" s="61" t="s">
        <v>654</v>
      </c>
      <c r="G38" s="49">
        <f>SUM(G35:G37)</f>
        <v>0</v>
      </c>
    </row>
    <row r="40" spans="1:7" ht="13">
      <c r="B40" s="36" t="s">
        <v>661</v>
      </c>
      <c r="D40" s="62"/>
      <c r="E40" s="62"/>
      <c r="F40" s="63"/>
      <c r="G40" s="55"/>
    </row>
    <row r="41" spans="1:7" s="47" customFormat="1" ht="13">
      <c r="A41" s="88" t="s">
        <v>138</v>
      </c>
      <c r="B41" s="38" t="s">
        <v>19</v>
      </c>
      <c r="C41" s="38" t="s">
        <v>662</v>
      </c>
      <c r="D41" s="38" t="s">
        <v>663</v>
      </c>
      <c r="E41" s="38"/>
      <c r="F41" s="38" t="s">
        <v>21</v>
      </c>
      <c r="G41" s="56" t="s">
        <v>286</v>
      </c>
    </row>
    <row r="42" spans="1:7" ht="14.5">
      <c r="A42" s="89">
        <v>1</v>
      </c>
      <c r="B42" s="64" t="str">
        <f>VLOOKUP(A42,ManoObra[],2,FALSE)</f>
        <v>Electricista</v>
      </c>
      <c r="C42" s="65">
        <f>VLOOKUP(A42,ManoObra[],8,FALSE)</f>
        <v>0</v>
      </c>
      <c r="D42" s="52">
        <f>+FP!E27</f>
        <v>0</v>
      </c>
      <c r="E42" s="52"/>
      <c r="F42" s="71">
        <f>F28</f>
        <v>1</v>
      </c>
      <c r="G42" s="51">
        <f>ROUND(C42*D42/F42,0)</f>
        <v>0</v>
      </c>
    </row>
    <row r="43" spans="1:7" ht="14.5">
      <c r="A43" s="89">
        <v>2</v>
      </c>
      <c r="B43" s="64" t="str">
        <f>VLOOKUP(A43,ManoObra[],2,FALSE)</f>
        <v>Ayudante</v>
      </c>
      <c r="C43" s="65">
        <f>VLOOKUP(A43,ManoObra[],8,FALSE)</f>
        <v>0</v>
      </c>
      <c r="D43" s="52">
        <f>+FP!E27</f>
        <v>0</v>
      </c>
      <c r="E43" s="52"/>
      <c r="F43" s="71">
        <f>F28</f>
        <v>1</v>
      </c>
      <c r="G43" s="51">
        <f>ROUND(C43*D43/F43,0)</f>
        <v>0</v>
      </c>
    </row>
    <row r="44" spans="1:7" ht="14.5">
      <c r="A44" s="89"/>
      <c r="B44" s="70"/>
      <c r="C44" s="65"/>
      <c r="D44" s="52"/>
      <c r="E44" s="52"/>
      <c r="F44" s="45"/>
      <c r="G44" s="51"/>
    </row>
    <row r="45" spans="1:7" ht="13">
      <c r="D45" s="47"/>
      <c r="E45" s="47"/>
      <c r="F45" s="61" t="s">
        <v>654</v>
      </c>
      <c r="G45" s="75">
        <f>SUM(G42:G44)</f>
        <v>0</v>
      </c>
    </row>
    <row r="46" spans="1:7" ht="13">
      <c r="D46" s="47"/>
      <c r="E46" s="47"/>
      <c r="G46" s="55"/>
    </row>
    <row r="47" spans="1:7" ht="12.75" customHeight="1">
      <c r="B47" s="47"/>
      <c r="D47" s="652" t="s">
        <v>664</v>
      </c>
      <c r="E47" s="654"/>
      <c r="F47" s="653"/>
      <c r="G47" s="66">
        <f>G24+G31+G38+G45</f>
        <v>0</v>
      </c>
    </row>
  </sheetData>
  <mergeCells count="3">
    <mergeCell ref="B1:G1"/>
    <mergeCell ref="B4:E4"/>
    <mergeCell ref="D47:F4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E506-3545-48D8-894D-46F9A49C87EF}">
  <sheetPr codeName="Hoja34">
    <tabColor theme="4" tint="0.59999389629810485"/>
    <pageSetUpPr fitToPage="1"/>
  </sheetPr>
  <dimension ref="A1:G36"/>
  <sheetViews>
    <sheetView showGridLines="0" view="pageBreakPreview" zoomScale="80" zoomScaleNormal="120" zoomScaleSheetLayoutView="80" workbookViewId="0">
      <selection activeCell="A4" sqref="A4:A38"/>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KW'!A12</f>
        <v>3.1.7</v>
      </c>
      <c r="D3" s="31"/>
      <c r="E3" s="31"/>
      <c r="F3" s="31"/>
      <c r="G3" s="32" t="s">
        <v>652</v>
      </c>
    </row>
    <row r="4" spans="1:7" ht="63" customHeight="1">
      <c r="B4" s="649" t="str">
        <f>+'PRES MR 5 KW'!B12</f>
        <v>Suministro e instalación de inversor de onda pura de 5000 VA 120V, FP 0.8, eficiencia del 94% y función de trabajo en paralelo. Incluye cable de entrada en 6 AWG</v>
      </c>
      <c r="C4" s="655"/>
      <c r="D4" s="655"/>
      <c r="E4" s="656"/>
      <c r="G4" s="33" t="str">
        <f>+'PRES MR 5 KW'!C12</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43.15" customHeight="1">
      <c r="A8" s="89">
        <v>30</v>
      </c>
      <c r="B8" s="69" t="str">
        <f>VLOOKUP(A8,Materiales3[],3,FALSE)</f>
        <v>Inversor 5kVA, voltaje de salida 230V/120V, con dos entradas CA y dos salidas CA, certificacion IEC 60335-1, IEC 60335-2 y IEC 62109-1</v>
      </c>
      <c r="C8" s="40" t="str">
        <f>VLOOKUP(A8,Materiales3[],4,FALSE)</f>
        <v>UN</v>
      </c>
      <c r="D8" s="41">
        <v>1</v>
      </c>
      <c r="E8" s="40">
        <f>VLOOKUP(A8,Materiales3[],5,FALSE)*D8</f>
        <v>30</v>
      </c>
      <c r="F8" s="42">
        <f>VLOOKUP(A8,Materiales3[],6,FALSE)</f>
        <v>0</v>
      </c>
      <c r="G8" s="42">
        <f>D8*F8</f>
        <v>0</v>
      </c>
    </row>
    <row r="9" spans="1:7" ht="14.5">
      <c r="A9" s="89">
        <v>24</v>
      </c>
      <c r="B9" s="69" t="str">
        <f>VLOOKUP(A9,Materiales3[],3,FALSE)</f>
        <v>Borna para ponchar varios calibres y terminales</v>
      </c>
      <c r="C9" s="40" t="str">
        <f>VLOOKUP(A9,Materiales3[],4,FALSE)</f>
        <v>UN</v>
      </c>
      <c r="D9" s="41">
        <v>6</v>
      </c>
      <c r="E9" s="40">
        <f>VLOOKUP(A9,Materiales3[],5,FALSE)*D9</f>
        <v>4.8000000000000001E-2</v>
      </c>
      <c r="F9" s="42">
        <f>VLOOKUP(A9,Materiales3[],6,FALSE)</f>
        <v>0</v>
      </c>
      <c r="G9" s="42">
        <f>D9*F9</f>
        <v>0</v>
      </c>
    </row>
    <row r="10" spans="1:7" ht="14.5">
      <c r="A10" s="89">
        <v>25</v>
      </c>
      <c r="B10" s="69" t="str">
        <f>VLOOKUP(A10,Materiales3[],3,FALSE)</f>
        <v>Tubo termoencogible. Distintos calibres, distintos colores</v>
      </c>
      <c r="C10" s="40" t="str">
        <f>VLOOKUP(A10,Materiales3[],4,FALSE)</f>
        <v>UN</v>
      </c>
      <c r="D10" s="41">
        <v>6</v>
      </c>
      <c r="E10" s="40">
        <f>VLOOKUP(A10,Materiales3[],5,FALSE)*D10</f>
        <v>4.8000000000000001E-2</v>
      </c>
      <c r="F10" s="42">
        <f>VLOOKUP(A10,Materiales3[],6,FALSE)</f>
        <v>0</v>
      </c>
      <c r="G10" s="42">
        <f>D10*F10</f>
        <v>0</v>
      </c>
    </row>
    <row r="11" spans="1:7" ht="14.5">
      <c r="A11" s="89">
        <v>241</v>
      </c>
      <c r="B11" s="69" t="str">
        <f>VLOOKUP(A11,Materiales3[],3,FALSE)</f>
        <v>Cable Cu THHN 6 AWG</v>
      </c>
      <c r="C11" s="40" t="str">
        <f>VLOOKUP(A11,Materiales3[],4,FALSE)</f>
        <v>ML</v>
      </c>
      <c r="D11" s="181">
        <f>2*1.05</f>
        <v>2.1</v>
      </c>
      <c r="E11" s="40">
        <f>VLOOKUP(A11,Materiales3[],5,FALSE)*D11</f>
        <v>0.35280000000000006</v>
      </c>
      <c r="F11" s="42">
        <f>VLOOKUP(A11,Materiales3[],6,FALSE)</f>
        <v>0</v>
      </c>
      <c r="G11" s="42">
        <f>D11*F11</f>
        <v>0</v>
      </c>
    </row>
    <row r="12" spans="1:7" ht="14.5">
      <c r="A12" s="4">
        <v>124</v>
      </c>
      <c r="B12" s="69" t="str">
        <f>VLOOKUP(A12,Materiales3[],3,FALSE)</f>
        <v>Cable Cu THHN 12 AWG</v>
      </c>
      <c r="C12" s="40" t="str">
        <f>VLOOKUP(A12,Materiales3[],4,FALSE)</f>
        <v>ML</v>
      </c>
      <c r="D12" s="60">
        <f>+(1)*1.05+2*1.05</f>
        <v>3.1500000000000004</v>
      </c>
      <c r="E12" s="40">
        <f>VLOOKUP(A12,Materiales3[],5,FALSE)*D12</f>
        <v>0.10710000000000001</v>
      </c>
      <c r="F12" s="42">
        <f>VLOOKUP(A12,Materiales3[],6,FALSE)</f>
        <v>0</v>
      </c>
      <c r="G12" s="42">
        <f t="shared" ref="G12" si="0">D12*F12</f>
        <v>0</v>
      </c>
    </row>
    <row r="13" spans="1:7" ht="13">
      <c r="D13" s="47"/>
      <c r="E13" s="47"/>
      <c r="F13" s="48" t="s">
        <v>654</v>
      </c>
      <c r="G13" s="49">
        <f>SUM(G8:G12)</f>
        <v>0</v>
      </c>
    </row>
    <row r="14" spans="1:7">
      <c r="G14" s="73"/>
    </row>
    <row r="15" spans="1:7" ht="13">
      <c r="B15" s="50" t="s">
        <v>655</v>
      </c>
      <c r="G15" s="74"/>
    </row>
    <row r="16" spans="1:7" ht="13">
      <c r="A16" s="88" t="s">
        <v>138</v>
      </c>
      <c r="B16" s="37" t="s">
        <v>19</v>
      </c>
      <c r="C16" s="38" t="s">
        <v>665</v>
      </c>
      <c r="D16" s="38" t="s">
        <v>656</v>
      </c>
      <c r="E16" s="38"/>
      <c r="F16" s="38" t="s">
        <v>21</v>
      </c>
      <c r="G16" s="38" t="s">
        <v>286</v>
      </c>
    </row>
    <row r="17" spans="1:7" ht="14.5">
      <c r="A17" s="89">
        <v>1</v>
      </c>
      <c r="B17" s="43" t="str">
        <f>VLOOKUP(A17,Equipoyherramienta[],2,FALSE)</f>
        <v>Herramienta menor</v>
      </c>
      <c r="C17" s="44" t="str">
        <f>VLOOKUP(A17,Equipoyherramienta[],3,FALSE)</f>
        <v>UN</v>
      </c>
      <c r="D17" s="51">
        <f>VLOOKUP(A17,Equipoyherramienta[],4,FALSE)</f>
        <v>0</v>
      </c>
      <c r="E17" s="51"/>
      <c r="F17" s="71">
        <f>+RENDIMIENTOS!C36</f>
        <v>2</v>
      </c>
      <c r="G17" s="51">
        <f>ROUND(D17/F17,0)</f>
        <v>0</v>
      </c>
    </row>
    <row r="18" spans="1:7">
      <c r="B18" s="43"/>
      <c r="C18" s="44"/>
      <c r="D18" s="46"/>
      <c r="E18" s="46"/>
      <c r="F18" s="52"/>
      <c r="G18" s="53"/>
    </row>
    <row r="19" spans="1:7">
      <c r="B19" s="43"/>
      <c r="C19" s="44"/>
      <c r="D19" s="46"/>
      <c r="E19" s="46"/>
      <c r="F19" s="52"/>
      <c r="G19" s="53"/>
    </row>
    <row r="20" spans="1:7" ht="13">
      <c r="D20" s="47"/>
      <c r="E20" s="47"/>
      <c r="F20" s="48" t="s">
        <v>654</v>
      </c>
      <c r="G20" s="49">
        <f>SUM(G17:G19)</f>
        <v>0</v>
      </c>
    </row>
    <row r="21" spans="1:7" ht="13">
      <c r="D21" s="47"/>
      <c r="E21" s="47"/>
      <c r="F21" s="47"/>
      <c r="G21" s="54"/>
    </row>
    <row r="22" spans="1:7" ht="13">
      <c r="B22" s="36" t="s">
        <v>657</v>
      </c>
      <c r="G22" s="55"/>
    </row>
    <row r="23" spans="1:7" ht="13">
      <c r="A23" s="88" t="s">
        <v>138</v>
      </c>
      <c r="B23" s="37" t="s">
        <v>19</v>
      </c>
      <c r="C23" s="38" t="s">
        <v>284</v>
      </c>
      <c r="D23" s="38" t="s">
        <v>410</v>
      </c>
      <c r="E23" s="38"/>
      <c r="F23" s="38" t="s">
        <v>666</v>
      </c>
      <c r="G23" s="56" t="s">
        <v>286</v>
      </c>
    </row>
    <row r="24" spans="1:7" ht="50">
      <c r="A24" s="89">
        <v>6</v>
      </c>
      <c r="B24" s="57" t="str">
        <f>VLOOKUP(A24,Transp.[],2,FALSE)</f>
        <v>Carga terrestre desde Barranquilla hasta Usuario, incluye cargues, descargues, cruces de río, transporte semoviente, transporte en vehículo de carga pesada y cualquier otro tranposte.</v>
      </c>
      <c r="C24" s="40" t="s">
        <v>667</v>
      </c>
      <c r="D24" s="41">
        <f>SUM(E8:E12)</f>
        <v>30.555899999999994</v>
      </c>
      <c r="E24" s="41"/>
      <c r="F24" s="59">
        <f>VLOOKUP(A24,Transp.[],6,FALSE)</f>
        <v>0</v>
      </c>
      <c r="G24" s="59">
        <f>D24*F24</f>
        <v>0</v>
      </c>
    </row>
    <row r="25" spans="1:7" ht="13.15" customHeight="1">
      <c r="A25" s="89"/>
      <c r="B25" s="57"/>
      <c r="C25" s="40"/>
      <c r="D25" s="41"/>
      <c r="E25" s="41"/>
      <c r="F25" s="59"/>
      <c r="G25" s="59"/>
    </row>
    <row r="26" spans="1:7" ht="13.15" customHeight="1">
      <c r="A26" s="89"/>
      <c r="B26" s="57"/>
      <c r="C26" s="40"/>
      <c r="D26" s="41"/>
      <c r="E26" s="41"/>
      <c r="F26" s="59"/>
      <c r="G26" s="59"/>
    </row>
    <row r="27" spans="1:7" ht="13">
      <c r="D27" s="47"/>
      <c r="E27" s="47"/>
      <c r="F27" s="61" t="s">
        <v>654</v>
      </c>
      <c r="G27" s="49">
        <f>SUM(G24:G26)</f>
        <v>0</v>
      </c>
    </row>
    <row r="29" spans="1:7" ht="13">
      <c r="B29" s="36" t="s">
        <v>661</v>
      </c>
      <c r="D29" s="62"/>
      <c r="E29" s="62"/>
      <c r="F29" s="63"/>
      <c r="G29" s="55"/>
    </row>
    <row r="30" spans="1:7" s="47" customFormat="1" ht="13">
      <c r="A30" s="88" t="s">
        <v>138</v>
      </c>
      <c r="B30" s="38" t="s">
        <v>19</v>
      </c>
      <c r="C30" s="38" t="s">
        <v>662</v>
      </c>
      <c r="D30" s="38" t="s">
        <v>663</v>
      </c>
      <c r="E30" s="38"/>
      <c r="F30" s="38" t="s">
        <v>21</v>
      </c>
      <c r="G30" s="56" t="s">
        <v>286</v>
      </c>
    </row>
    <row r="31" spans="1:7" ht="14.5">
      <c r="A31" s="89">
        <v>1</v>
      </c>
      <c r="B31" s="64" t="str">
        <f>VLOOKUP(A31,ManoObra[],2,FALSE)</f>
        <v>Electricista</v>
      </c>
      <c r="C31" s="65">
        <f>VLOOKUP(A31,ManoObra[],8,FALSE)</f>
        <v>0</v>
      </c>
      <c r="D31" s="52">
        <f>+FP!E27</f>
        <v>0</v>
      </c>
      <c r="E31" s="52"/>
      <c r="F31" s="71">
        <f>F17</f>
        <v>2</v>
      </c>
      <c r="G31" s="51">
        <f>ROUND(C31*D31/F31,0)</f>
        <v>0</v>
      </c>
    </row>
    <row r="32" spans="1:7" ht="14.5">
      <c r="A32" s="89">
        <v>2</v>
      </c>
      <c r="B32" s="64" t="str">
        <f>VLOOKUP(A32,ManoObra[],2,FALSE)</f>
        <v>Ayudante</v>
      </c>
      <c r="C32" s="65">
        <f>VLOOKUP(A32,ManoObra[],8,FALSE)</f>
        <v>0</v>
      </c>
      <c r="D32" s="52">
        <f>+FP!E27</f>
        <v>0</v>
      </c>
      <c r="E32" s="52"/>
      <c r="F32" s="71">
        <f>F17</f>
        <v>2</v>
      </c>
      <c r="G32" s="51">
        <f>ROUND(C32*D32/F32,0)</f>
        <v>0</v>
      </c>
    </row>
    <row r="33" spans="1:7" ht="14.5">
      <c r="A33" s="89"/>
      <c r="B33" s="70"/>
      <c r="C33" s="65"/>
      <c r="D33" s="52"/>
      <c r="E33" s="52"/>
      <c r="F33" s="45"/>
      <c r="G33" s="51"/>
    </row>
    <row r="34" spans="1:7" ht="13">
      <c r="D34" s="47"/>
      <c r="E34" s="47"/>
      <c r="F34" s="61" t="s">
        <v>654</v>
      </c>
      <c r="G34" s="75">
        <f>SUM(G31:G33)</f>
        <v>0</v>
      </c>
    </row>
    <row r="35" spans="1:7" ht="13">
      <c r="D35" s="47"/>
      <c r="E35" s="47"/>
      <c r="G35" s="55"/>
    </row>
    <row r="36" spans="1:7" ht="12.75" customHeight="1">
      <c r="B36" s="47"/>
      <c r="D36" s="652" t="s">
        <v>664</v>
      </c>
      <c r="E36" s="654"/>
      <c r="F36" s="653"/>
      <c r="G36" s="66">
        <f>G13+G20+G27+G34</f>
        <v>0</v>
      </c>
    </row>
  </sheetData>
  <mergeCells count="3">
    <mergeCell ref="B1:G1"/>
    <mergeCell ref="B4:E4"/>
    <mergeCell ref="D36:F36"/>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40F54-6124-48A2-9FFA-4AF536487349}">
  <sheetPr>
    <tabColor theme="4" tint="0.59999389629810485"/>
    <pageSetUpPr fitToPage="1"/>
  </sheetPr>
  <dimension ref="A1:G41"/>
  <sheetViews>
    <sheetView showGridLines="0" view="pageBreakPreview" zoomScale="80" zoomScaleNormal="120" zoomScaleSheetLayoutView="80" workbookViewId="0">
      <selection activeCell="A4" sqref="A4:A41"/>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KW'!A13</f>
        <v>3.1.8</v>
      </c>
      <c r="D3" s="31"/>
      <c r="E3" s="31"/>
      <c r="F3" s="31"/>
      <c r="G3" s="32" t="s">
        <v>652</v>
      </c>
    </row>
    <row r="4" spans="1:7" ht="63" customHeight="1">
      <c r="B4" s="649" t="str">
        <f>+'PRES MR 5 KW'!B13</f>
        <v>Suministro, transporte e instalación de lonchera eléctrica en AC con cumplimiento retie para interruptor termomagnético monopolar de 50 A. Incluye interruptor termomagnético.</v>
      </c>
      <c r="C4" s="655"/>
      <c r="D4" s="655"/>
      <c r="E4" s="656"/>
      <c r="G4" s="33" t="str">
        <f>+'PRES MR 5 KW'!C13</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189</v>
      </c>
      <c r="B8" s="69" t="str">
        <f>VLOOKUP(A8,Materiales3[],3,FALSE)</f>
        <v>Tablero enchufe monofásico con cumplimiento retie</v>
      </c>
      <c r="C8" s="40" t="str">
        <f>VLOOKUP(A8,Materiales3[],4,FALSE)</f>
        <v>UN</v>
      </c>
      <c r="D8" s="41">
        <v>1</v>
      </c>
      <c r="E8" s="40">
        <f>VLOOKUP(A8,Materiales3[],5,FALSE)*D8</f>
        <v>1.1000000000000001</v>
      </c>
      <c r="F8" s="42">
        <f>VLOOKUP(A8,Materiales3[],6,FALSE)</f>
        <v>0</v>
      </c>
      <c r="G8" s="42">
        <f>D8*F8</f>
        <v>0</v>
      </c>
    </row>
    <row r="9" spans="1:7" ht="14.5">
      <c r="A9" s="89">
        <v>169</v>
      </c>
      <c r="B9" s="69" t="str">
        <f>VLOOKUP(A9,Materiales3[],3,FALSE)</f>
        <v>Interruptor termomagnético 50 A 1P 120/240 VAC 10kA</v>
      </c>
      <c r="C9" s="40" t="str">
        <f>VLOOKUP(A9,Materiales3[],4,FALSE)</f>
        <v>UN</v>
      </c>
      <c r="D9" s="41">
        <v>1</v>
      </c>
      <c r="E9" s="40">
        <f>VLOOKUP(A9,Materiales3[],5,FALSE)*D9</f>
        <v>0.24</v>
      </c>
      <c r="F9" s="42">
        <f>VLOOKUP(A9,Materiales3[],6,FALSE)</f>
        <v>0</v>
      </c>
      <c r="G9" s="42">
        <f t="shared" ref="G9:G14" si="0">D9*F9</f>
        <v>0</v>
      </c>
    </row>
    <row r="10" spans="1:7" ht="14.5">
      <c r="A10" s="89">
        <v>25</v>
      </c>
      <c r="B10" s="69" t="str">
        <f>VLOOKUP(A10,Materiales3[],3,FALSE)</f>
        <v>Tubo termoencogible. Distintos calibres, distintos colores</v>
      </c>
      <c r="C10" s="40" t="str">
        <f>VLOOKUP(A10,Materiales3[],4,FALSE)</f>
        <v>UN</v>
      </c>
      <c r="D10" s="41">
        <v>6</v>
      </c>
      <c r="E10" s="40">
        <f>VLOOKUP(A10,Materiales3[],5,FALSE)*D10</f>
        <v>4.8000000000000001E-2</v>
      </c>
      <c r="F10" s="42">
        <f>VLOOKUP(A10,Materiales3[],6,FALSE)</f>
        <v>0</v>
      </c>
      <c r="G10" s="42">
        <f t="shared" si="0"/>
        <v>0</v>
      </c>
    </row>
    <row r="11" spans="1:7" ht="14.5">
      <c r="A11" s="89">
        <v>241</v>
      </c>
      <c r="B11" s="69" t="str">
        <f>VLOOKUP(A11,Materiales3[],3,FALSE)</f>
        <v>Cable Cu THHN 6 AWG</v>
      </c>
      <c r="C11" s="40" t="str">
        <f>VLOOKUP(A11,Materiales3[],4,FALSE)</f>
        <v>ML</v>
      </c>
      <c r="D11" s="60">
        <f>2*1.5*1.05</f>
        <v>3.1500000000000004</v>
      </c>
      <c r="E11" s="40">
        <f>VLOOKUP(A11,Materiales3[],5,FALSE)*D11</f>
        <v>0.52920000000000011</v>
      </c>
      <c r="F11" s="42">
        <f>VLOOKUP(A11,Materiales3[],6,FALSE)</f>
        <v>0</v>
      </c>
      <c r="G11" s="42">
        <f t="shared" si="0"/>
        <v>0</v>
      </c>
    </row>
    <row r="12" spans="1:7" ht="14.5">
      <c r="A12" s="89">
        <v>124</v>
      </c>
      <c r="B12" s="69" t="str">
        <f>VLOOKUP(A12,Materiales3[],3,FALSE)</f>
        <v>Cable Cu THHN 12 AWG</v>
      </c>
      <c r="C12" s="40" t="str">
        <f>VLOOKUP(A12,Materiales3[],4,FALSE)</f>
        <v>ML</v>
      </c>
      <c r="D12" s="60">
        <f>1*1.5*1.05</f>
        <v>1.5750000000000002</v>
      </c>
      <c r="E12" s="40">
        <f>VLOOKUP(A12,Materiales3[],5,FALSE)*D12</f>
        <v>5.3550000000000007E-2</v>
      </c>
      <c r="F12" s="42">
        <f>VLOOKUP(A12,Materiales3[],6,FALSE)</f>
        <v>0</v>
      </c>
      <c r="G12" s="42">
        <f t="shared" si="0"/>
        <v>0</v>
      </c>
    </row>
    <row r="13" spans="1:7" ht="14.5">
      <c r="A13" s="89">
        <v>405</v>
      </c>
      <c r="B13" s="69" t="str">
        <f>VLOOKUP(A13,Materiales3[],3,FALSE)</f>
        <v>Tubo conduit metalico EMT 3/4"</v>
      </c>
      <c r="C13" s="40" t="str">
        <f>VLOOKUP(A13,Materiales3[],4,FALSE)</f>
        <v>ML</v>
      </c>
      <c r="D13" s="60">
        <v>2</v>
      </c>
      <c r="E13" s="40">
        <f>VLOOKUP(A13,Materiales3[],5,FALSE)*D13</f>
        <v>1.38</v>
      </c>
      <c r="F13" s="42">
        <f>VLOOKUP(A13,Materiales3[],6,FALSE)</f>
        <v>0</v>
      </c>
      <c r="G13" s="42">
        <f t="shared" si="0"/>
        <v>0</v>
      </c>
    </row>
    <row r="14" spans="1:7" ht="14.5">
      <c r="A14" s="89">
        <v>406</v>
      </c>
      <c r="B14" s="69" t="str">
        <f>VLOOKUP(A14,Materiales3[],3,FALSE)</f>
        <v>Unión conduit metalica EMT 3/4"</v>
      </c>
      <c r="C14" s="40" t="str">
        <f>VLOOKUP(A14,Materiales3[],4,FALSE)</f>
        <v>UN</v>
      </c>
      <c r="D14" s="60">
        <v>2</v>
      </c>
      <c r="E14" s="40">
        <f>VLOOKUP(A14,Materiales3[],5,FALSE)*D14</f>
        <v>0.11600000000000001</v>
      </c>
      <c r="F14" s="42">
        <f>VLOOKUP(A14,Materiales3[],6,FALSE)</f>
        <v>0</v>
      </c>
      <c r="G14" s="42">
        <f t="shared" si="0"/>
        <v>0</v>
      </c>
    </row>
    <row r="15" spans="1:7" ht="14.5">
      <c r="A15" s="89">
        <v>407</v>
      </c>
      <c r="B15" s="69" t="str">
        <f>VLOOKUP(A15,Materiales3[],3,FALSE)</f>
        <v>Terminal conduit metalica EMT 3/4"</v>
      </c>
      <c r="C15" s="40" t="str">
        <f>VLOOKUP(A15,Materiales3[],4,FALSE)</f>
        <v>UN</v>
      </c>
      <c r="D15" s="60">
        <v>1</v>
      </c>
      <c r="E15" s="40">
        <f>VLOOKUP(A15,Materiales3[],5,FALSE)*D15</f>
        <v>5.8000000000000003E-2</v>
      </c>
      <c r="F15" s="42">
        <f>VLOOKUP(A15,Materiales3[],6,FALSE)</f>
        <v>0</v>
      </c>
      <c r="G15" s="42">
        <f>D15*F15</f>
        <v>0</v>
      </c>
    </row>
    <row r="16" spans="1:7" ht="14.5">
      <c r="A16" s="89">
        <v>133</v>
      </c>
      <c r="B16" s="69" t="str">
        <f>VLOOKUP(A16,Materiales3[],3,FALSE)</f>
        <v>Uniones, curvas y terminales IMC. Varios calibres</v>
      </c>
      <c r="C16" s="40" t="str">
        <f>VLOOKUP(A16,Materiales3[],4,FALSE)</f>
        <v>UN</v>
      </c>
      <c r="D16" s="60">
        <v>1</v>
      </c>
      <c r="E16" s="40">
        <f>VLOOKUP(A16,Materiales3[],5,FALSE)*D16</f>
        <v>0.18</v>
      </c>
      <c r="F16" s="42">
        <f>VLOOKUP(A16,Materiales3[],6,FALSE)</f>
        <v>0</v>
      </c>
      <c r="G16" s="42">
        <f>D16*F16</f>
        <v>0</v>
      </c>
    </row>
    <row r="17" spans="1:7" ht="14.5">
      <c r="A17" s="4">
        <v>246</v>
      </c>
      <c r="B17" s="69" t="str">
        <f>VLOOKUP(A17,Materiales3[],3,FALSE)</f>
        <v>Cable Cu THHN 8 AWG</v>
      </c>
      <c r="C17" s="40" t="str">
        <f>VLOOKUP(A17,Materiales3[],4,FALSE)</f>
        <v>ML</v>
      </c>
      <c r="D17" s="40">
        <f>3*1.05</f>
        <v>3.1500000000000004</v>
      </c>
      <c r="E17" s="40">
        <f>VLOOKUP(A17,Materiales3[],5,FALSE)*D17</f>
        <v>0.30240000000000006</v>
      </c>
      <c r="F17" s="42">
        <f>VLOOKUP(A17,Materiales3[],6,FALSE)</f>
        <v>0</v>
      </c>
      <c r="G17" s="42">
        <f>D17*F17</f>
        <v>0</v>
      </c>
    </row>
    <row r="18" spans="1:7" ht="13">
      <c r="D18" s="47"/>
      <c r="E18" s="47"/>
      <c r="F18" s="48" t="s">
        <v>654</v>
      </c>
      <c r="G18" s="49">
        <f>SUM(G8:G17)</f>
        <v>0</v>
      </c>
    </row>
    <row r="19" spans="1:7">
      <c r="G19" s="73"/>
    </row>
    <row r="20" spans="1:7" ht="13">
      <c r="B20" s="50" t="s">
        <v>655</v>
      </c>
      <c r="G20" s="74"/>
    </row>
    <row r="21" spans="1:7" ht="13">
      <c r="A21" s="88" t="s">
        <v>138</v>
      </c>
      <c r="B21" s="37" t="s">
        <v>19</v>
      </c>
      <c r="C21" s="38" t="s">
        <v>665</v>
      </c>
      <c r="D21" s="38" t="s">
        <v>656</v>
      </c>
      <c r="E21" s="38"/>
      <c r="F21" s="38" t="s">
        <v>21</v>
      </c>
      <c r="G21" s="38" t="s">
        <v>286</v>
      </c>
    </row>
    <row r="22" spans="1:7" ht="14.5">
      <c r="A22" s="89">
        <v>1</v>
      </c>
      <c r="B22" s="43" t="str">
        <f>VLOOKUP(A22,Equipoyherramienta[],2,FALSE)</f>
        <v>Herramienta menor</v>
      </c>
      <c r="C22" s="44" t="str">
        <f>VLOOKUP(A22,Equipoyherramienta[],3,FALSE)</f>
        <v>UN</v>
      </c>
      <c r="D22" s="51">
        <f>VLOOKUP(A22,Equipoyherramienta[],4,FALSE)</f>
        <v>0</v>
      </c>
      <c r="E22" s="51"/>
      <c r="F22" s="71">
        <v>4</v>
      </c>
      <c r="G22" s="51">
        <f>ROUND(D22/F22,0)</f>
        <v>0</v>
      </c>
    </row>
    <row r="23" spans="1:7">
      <c r="B23" s="43"/>
      <c r="C23" s="44"/>
      <c r="D23" s="46"/>
      <c r="E23" s="46"/>
      <c r="F23" s="52"/>
      <c r="G23" s="53"/>
    </row>
    <row r="24" spans="1:7">
      <c r="B24" s="43"/>
      <c r="C24" s="44"/>
      <c r="D24" s="46"/>
      <c r="E24" s="46"/>
      <c r="F24" s="52"/>
      <c r="G24" s="53"/>
    </row>
    <row r="25" spans="1:7" ht="13">
      <c r="D25" s="47"/>
      <c r="E25" s="47"/>
      <c r="F25" s="48" t="s">
        <v>654</v>
      </c>
      <c r="G25" s="49">
        <f>SUM(G22:G24)</f>
        <v>0</v>
      </c>
    </row>
    <row r="26" spans="1:7" ht="13">
      <c r="D26" s="47"/>
      <c r="E26" s="47"/>
      <c r="F26" s="47"/>
      <c r="G26" s="54"/>
    </row>
    <row r="27" spans="1:7" ht="13">
      <c r="B27" s="36" t="s">
        <v>657</v>
      </c>
      <c r="G27" s="55"/>
    </row>
    <row r="28" spans="1:7" ht="13">
      <c r="A28" s="88" t="s">
        <v>138</v>
      </c>
      <c r="B28" s="37" t="s">
        <v>19</v>
      </c>
      <c r="C28" s="38" t="s">
        <v>284</v>
      </c>
      <c r="D28" s="38" t="s">
        <v>410</v>
      </c>
      <c r="E28" s="38"/>
      <c r="F28" s="38" t="s">
        <v>666</v>
      </c>
      <c r="G28" s="56" t="s">
        <v>286</v>
      </c>
    </row>
    <row r="29" spans="1:7" ht="50">
      <c r="A29" s="89">
        <v>6</v>
      </c>
      <c r="B29" s="57" t="str">
        <f>VLOOKUP(A29,Transp.[],2,FALSE)</f>
        <v>Carga terrestre desde Barranquilla hasta Usuario, incluye cargues, descargues, cruces de río, transporte semoviente, transporte en vehículo de carga pesada y cualquier otro tranposte.</v>
      </c>
      <c r="C29" s="40" t="s">
        <v>667</v>
      </c>
      <c r="D29" s="41">
        <f>SUM(E8:E17)</f>
        <v>4.0071500000000002</v>
      </c>
      <c r="E29" s="41"/>
      <c r="F29" s="59">
        <f>VLOOKUP(A29,Transp.[],6,FALSE)</f>
        <v>0</v>
      </c>
      <c r="G29" s="59">
        <f>D29*F29</f>
        <v>0</v>
      </c>
    </row>
    <row r="30" spans="1:7" ht="13.15" customHeight="1">
      <c r="A30" s="89"/>
      <c r="B30" s="57"/>
      <c r="C30" s="40"/>
      <c r="D30" s="41"/>
      <c r="E30" s="41"/>
      <c r="F30" s="59"/>
      <c r="G30" s="59"/>
    </row>
    <row r="31" spans="1:7" ht="13.15" customHeight="1">
      <c r="A31" s="89"/>
      <c r="B31" s="57"/>
      <c r="C31" s="40"/>
      <c r="D31" s="41"/>
      <c r="E31" s="41"/>
      <c r="F31" s="59"/>
      <c r="G31" s="59"/>
    </row>
    <row r="32" spans="1:7" ht="13">
      <c r="D32" s="47"/>
      <c r="E32" s="47"/>
      <c r="F32" s="61" t="s">
        <v>654</v>
      </c>
      <c r="G32" s="49">
        <f>SUM(G29:G31)</f>
        <v>0</v>
      </c>
    </row>
    <row r="34" spans="1:7" ht="13">
      <c r="B34" s="36" t="s">
        <v>661</v>
      </c>
      <c r="D34" s="62"/>
      <c r="E34" s="62"/>
      <c r="F34" s="63"/>
      <c r="G34" s="55"/>
    </row>
    <row r="35" spans="1:7" s="47" customFormat="1" ht="13">
      <c r="A35" s="88" t="s">
        <v>138</v>
      </c>
      <c r="B35" s="38" t="s">
        <v>19</v>
      </c>
      <c r="C35" s="38" t="s">
        <v>662</v>
      </c>
      <c r="D35" s="38" t="s">
        <v>663</v>
      </c>
      <c r="E35" s="38"/>
      <c r="F35" s="38" t="s">
        <v>21</v>
      </c>
      <c r="G35" s="56" t="s">
        <v>286</v>
      </c>
    </row>
    <row r="36" spans="1:7" ht="14.5">
      <c r="A36" s="89">
        <v>1</v>
      </c>
      <c r="B36" s="64" t="str">
        <f>VLOOKUP(A36,ManoObra[],2,FALSE)</f>
        <v>Electricista</v>
      </c>
      <c r="C36" s="65">
        <f>VLOOKUP(A36,ManoObra[],8,FALSE)</f>
        <v>0</v>
      </c>
      <c r="D36" s="52">
        <f>+FP!E27</f>
        <v>0</v>
      </c>
      <c r="E36" s="52"/>
      <c r="F36" s="71">
        <f>F22</f>
        <v>4</v>
      </c>
      <c r="G36" s="51">
        <f>ROUND(C36*D36/F36,0)</f>
        <v>0</v>
      </c>
    </row>
    <row r="37" spans="1:7" ht="14.5">
      <c r="A37" s="89">
        <v>2</v>
      </c>
      <c r="B37" s="64" t="str">
        <f>VLOOKUP(A37,ManoObra[],2,FALSE)</f>
        <v>Ayudante</v>
      </c>
      <c r="C37" s="65">
        <f>VLOOKUP(A37,ManoObra[],8,FALSE)</f>
        <v>0</v>
      </c>
      <c r="D37" s="52">
        <f>+FP!E27</f>
        <v>0</v>
      </c>
      <c r="E37" s="52"/>
      <c r="F37" s="71">
        <f>F22</f>
        <v>4</v>
      </c>
      <c r="G37" s="51">
        <f>ROUND(C37*D37/F37,0)</f>
        <v>0</v>
      </c>
    </row>
    <row r="38" spans="1:7" ht="14.5">
      <c r="A38" s="89"/>
      <c r="B38" s="70"/>
      <c r="C38" s="65"/>
      <c r="D38" s="52"/>
      <c r="E38" s="52"/>
      <c r="F38" s="45"/>
      <c r="G38" s="51"/>
    </row>
    <row r="39" spans="1:7" ht="13">
      <c r="D39" s="47"/>
      <c r="E39" s="47"/>
      <c r="F39" s="61" t="s">
        <v>654</v>
      </c>
      <c r="G39" s="75">
        <f>SUM(G36:G38)</f>
        <v>0</v>
      </c>
    </row>
    <row r="40" spans="1:7" ht="13">
      <c r="D40" s="47"/>
      <c r="E40" s="47"/>
      <c r="G40" s="55"/>
    </row>
    <row r="41" spans="1:7" ht="12.75" customHeight="1">
      <c r="B41" s="47"/>
      <c r="D41" s="652" t="s">
        <v>664</v>
      </c>
      <c r="E41" s="654"/>
      <c r="F41" s="653"/>
      <c r="G41" s="66">
        <f>G18+G25+G32+G39</f>
        <v>0</v>
      </c>
    </row>
  </sheetData>
  <mergeCells count="3">
    <mergeCell ref="B1:G1"/>
    <mergeCell ref="B4:E4"/>
    <mergeCell ref="D41:F41"/>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DBFB-B3AD-4E23-AAD8-35E05F33F36B}">
  <sheetPr codeName="Hoja17">
    <tabColor theme="8" tint="0.59999389629810485"/>
    <pageSetUpPr fitToPage="1"/>
  </sheetPr>
  <dimension ref="A1:R31"/>
  <sheetViews>
    <sheetView view="pageBreakPreview" topLeftCell="A10" zoomScale="70" zoomScaleNormal="70" zoomScaleSheetLayoutView="70" workbookViewId="0">
      <selection activeCell="N27" sqref="N27:P33"/>
    </sheetView>
  </sheetViews>
  <sheetFormatPr baseColWidth="10" defaultColWidth="11.453125" defaultRowHeight="12.5"/>
  <cols>
    <col min="1" max="1" width="6.26953125" customWidth="1"/>
    <col min="2" max="2" width="61.81640625" customWidth="1"/>
    <col min="3" max="3" width="8.453125" customWidth="1"/>
    <col min="4" max="4" width="11" customWidth="1"/>
    <col min="5" max="15" width="19.26953125" customWidth="1"/>
    <col min="16" max="16" width="27.54296875" customWidth="1"/>
    <col min="17" max="17" width="22" customWidth="1"/>
    <col min="18" max="18" width="17.26953125" customWidth="1"/>
    <col min="19" max="19" width="15" bestFit="1" customWidth="1"/>
  </cols>
  <sheetData>
    <row r="1" spans="1:18" ht="13">
      <c r="A1" s="545" t="str">
        <f>UPPER('PRES GENERAL MR'!B6)</f>
        <v>IMPLEMENTACIÓN Y PUESTA EN FUNCIONAMIENTO DE SISTEMA INDIVIDUAL SOLAR FOTOVOLTAICO</v>
      </c>
      <c r="B1" s="545"/>
      <c r="C1" s="545"/>
      <c r="D1" s="545"/>
      <c r="E1" s="545"/>
      <c r="F1" s="545"/>
      <c r="G1" s="545"/>
      <c r="H1" s="545"/>
      <c r="I1" s="545"/>
      <c r="J1" s="545"/>
      <c r="K1" s="545"/>
      <c r="L1" s="545"/>
      <c r="M1" s="545"/>
      <c r="N1" s="545"/>
      <c r="O1" s="545"/>
      <c r="P1" s="545"/>
    </row>
    <row r="2" spans="1:18" s="24" customFormat="1" ht="30" customHeight="1">
      <c r="A2" s="535" t="str">
        <f>+'PRES GENERAL MR'!A1</f>
        <v>IMPLEMENTACIÓN DE SOLUCIONES ENERGÉTICAS SOSTENIBLES CON FUENTES NO CONVENCIONALES, PARA LAS COMUNIDADES RURALES DEL MUNICIPIO DE PLATO, DEPARTAMENTO MAGDALENA.</v>
      </c>
      <c r="B2" s="536"/>
      <c r="C2" s="536"/>
      <c r="D2" s="536"/>
      <c r="E2" s="536"/>
      <c r="F2" s="536"/>
      <c r="G2" s="536"/>
      <c r="H2" s="536"/>
      <c r="I2" s="536"/>
      <c r="J2" s="536"/>
      <c r="K2" s="536"/>
      <c r="L2" s="536"/>
      <c r="M2" s="536"/>
      <c r="N2" s="536"/>
      <c r="O2" s="536"/>
      <c r="P2" s="537"/>
    </row>
    <row r="3" spans="1:18" s="26" customFormat="1" ht="15" customHeight="1">
      <c r="A3" s="538" t="s">
        <v>486</v>
      </c>
      <c r="B3" s="538" t="s">
        <v>487</v>
      </c>
      <c r="C3" s="538" t="s">
        <v>87</v>
      </c>
      <c r="D3" s="538" t="s">
        <v>488</v>
      </c>
      <c r="E3" s="539" t="s">
        <v>489</v>
      </c>
      <c r="F3" s="540"/>
      <c r="G3" s="540"/>
      <c r="H3" s="540"/>
      <c r="I3" s="540"/>
      <c r="J3" s="541"/>
      <c r="K3" s="542" t="s">
        <v>490</v>
      </c>
      <c r="L3" s="543"/>
      <c r="M3" s="543"/>
      <c r="N3" s="543"/>
      <c r="O3" s="543"/>
      <c r="P3" s="544"/>
    </row>
    <row r="4" spans="1:18" s="26" customFormat="1" ht="40.15" customHeight="1">
      <c r="A4" s="538"/>
      <c r="B4" s="538"/>
      <c r="C4" s="538"/>
      <c r="D4" s="538"/>
      <c r="E4" s="381" t="s">
        <v>282</v>
      </c>
      <c r="F4" s="381" t="s">
        <v>491</v>
      </c>
      <c r="G4" s="381" t="s">
        <v>492</v>
      </c>
      <c r="H4" s="381" t="s">
        <v>493</v>
      </c>
      <c r="I4" s="381" t="s">
        <v>494</v>
      </c>
      <c r="J4" s="27" t="s">
        <v>495</v>
      </c>
      <c r="K4" s="381" t="s">
        <v>282</v>
      </c>
      <c r="L4" s="381" t="s">
        <v>491</v>
      </c>
      <c r="M4" s="381" t="s">
        <v>492</v>
      </c>
      <c r="N4" s="381" t="s">
        <v>493</v>
      </c>
      <c r="O4" s="381" t="s">
        <v>494</v>
      </c>
      <c r="P4" s="27" t="s">
        <v>496</v>
      </c>
    </row>
    <row r="5" spans="1:18" s="18" customFormat="1" ht="30" customHeight="1">
      <c r="A5" s="382" t="str">
        <f>+'PRES GENERAL MR'!A7</f>
        <v>2.1</v>
      </c>
      <c r="B5" s="383" t="str">
        <f>+'PRES GENERAL MR'!B7</f>
        <v>Implementar y poner en funcionamiento equipos para la operación fotovoltaica</v>
      </c>
      <c r="C5" s="384"/>
      <c r="D5" s="384"/>
      <c r="E5" s="384"/>
      <c r="F5" s="384"/>
      <c r="G5" s="384"/>
      <c r="H5" s="384"/>
      <c r="I5" s="384"/>
      <c r="J5" s="384"/>
      <c r="K5" s="384"/>
      <c r="L5" s="384"/>
      <c r="M5" s="384"/>
      <c r="N5" s="384"/>
      <c r="O5" s="384"/>
      <c r="P5" s="403"/>
    </row>
    <row r="6" spans="1:18" s="18" customFormat="1" ht="118.15" customHeight="1">
      <c r="A6" s="244" t="s">
        <v>566</v>
      </c>
      <c r="B6" s="245" t="s">
        <v>567</v>
      </c>
      <c r="C6" s="244" t="s">
        <v>92</v>
      </c>
      <c r="D6" s="246">
        <v>1</v>
      </c>
      <c r="E6" s="247">
        <f>+'2.1.1'!G14</f>
        <v>0</v>
      </c>
      <c r="F6" s="247">
        <f>+'2.1.1'!G21</f>
        <v>0</v>
      </c>
      <c r="G6" s="247">
        <f>+'2.1.1'!G28</f>
        <v>0</v>
      </c>
      <c r="H6" s="247">
        <f>+'2.1.1'!G32</f>
        <v>0</v>
      </c>
      <c r="I6" s="247">
        <f>+'2.1.1'!G33</f>
        <v>0</v>
      </c>
      <c r="J6" s="247">
        <f t="shared" ref="J6:J7" si="0">SUM(E6:I6)</f>
        <v>0</v>
      </c>
      <c r="K6" s="247">
        <f t="shared" ref="K6:M12" si="1">+$D6*E6</f>
        <v>0</v>
      </c>
      <c r="L6" s="247">
        <f t="shared" si="1"/>
        <v>0</v>
      </c>
      <c r="M6" s="247">
        <f t="shared" si="1"/>
        <v>0</v>
      </c>
      <c r="N6" s="247">
        <f t="shared" ref="N6:O15" si="2">+$D6*H6</f>
        <v>0</v>
      </c>
      <c r="O6" s="247">
        <f t="shared" si="2"/>
        <v>0</v>
      </c>
      <c r="P6" s="247">
        <f>J6*D6</f>
        <v>0</v>
      </c>
    </row>
    <row r="7" spans="1:18" s="18" customFormat="1" ht="108.65" customHeight="1">
      <c r="A7" s="244" t="s">
        <v>568</v>
      </c>
      <c r="B7" s="245" t="s">
        <v>569</v>
      </c>
      <c r="C7" s="244" t="s">
        <v>92</v>
      </c>
      <c r="D7" s="246">
        <f>+$D$6</f>
        <v>1</v>
      </c>
      <c r="E7" s="247">
        <f>+'2.1.2'!G16</f>
        <v>0</v>
      </c>
      <c r="F7" s="247">
        <f>+'2.1.2'!G23</f>
        <v>0</v>
      </c>
      <c r="G7" s="247">
        <f>+'2.1.2'!G30</f>
        <v>0</v>
      </c>
      <c r="H7" s="247">
        <f>+'2.1.2'!G34</f>
        <v>0</v>
      </c>
      <c r="I7" s="247">
        <f>+'2.1.2'!G35</f>
        <v>0</v>
      </c>
      <c r="J7" s="247">
        <f t="shared" si="0"/>
        <v>0</v>
      </c>
      <c r="K7" s="247">
        <f t="shared" si="1"/>
        <v>0</v>
      </c>
      <c r="L7" s="247">
        <f t="shared" si="1"/>
        <v>0</v>
      </c>
      <c r="M7" s="247">
        <f t="shared" si="1"/>
        <v>0</v>
      </c>
      <c r="N7" s="247">
        <f t="shared" si="2"/>
        <v>0</v>
      </c>
      <c r="O7" s="247">
        <f t="shared" si="2"/>
        <v>0</v>
      </c>
      <c r="P7" s="247">
        <f t="shared" ref="P7:P17" si="3">J7*D7</f>
        <v>0</v>
      </c>
    </row>
    <row r="8" spans="1:18" s="18" customFormat="1" ht="218.5" customHeight="1">
      <c r="A8" s="244" t="s">
        <v>570</v>
      </c>
      <c r="B8" s="245" t="s">
        <v>571</v>
      </c>
      <c r="C8" s="244" t="s">
        <v>92</v>
      </c>
      <c r="D8" s="246">
        <f t="shared" ref="D8:D19" si="4">+$D$6</f>
        <v>1</v>
      </c>
      <c r="E8" s="247">
        <f>+'2.1.3'!G25</f>
        <v>0</v>
      </c>
      <c r="F8" s="247">
        <f>+'2.1.3'!G32</f>
        <v>0</v>
      </c>
      <c r="G8" s="247">
        <f>+'2.1.3'!G39</f>
        <v>0</v>
      </c>
      <c r="H8" s="247">
        <f>+'2.1.3'!G43</f>
        <v>0</v>
      </c>
      <c r="I8" s="247">
        <f>+'2.1.3'!G44</f>
        <v>0</v>
      </c>
      <c r="J8" s="247">
        <f>SUM(E8:I8)</f>
        <v>0</v>
      </c>
      <c r="K8" s="247">
        <f t="shared" si="1"/>
        <v>0</v>
      </c>
      <c r="L8" s="247">
        <f>+$D8*F8</f>
        <v>0</v>
      </c>
      <c r="M8" s="247">
        <f>+$D8*G8</f>
        <v>0</v>
      </c>
      <c r="N8" s="247">
        <f t="shared" si="2"/>
        <v>0</v>
      </c>
      <c r="O8" s="247">
        <f t="shared" si="2"/>
        <v>0</v>
      </c>
      <c r="P8" s="247">
        <f t="shared" si="3"/>
        <v>0</v>
      </c>
    </row>
    <row r="9" spans="1:18" s="18" customFormat="1" ht="72" customHeight="1">
      <c r="A9" s="244" t="s">
        <v>572</v>
      </c>
      <c r="B9" s="245" t="s">
        <v>573</v>
      </c>
      <c r="C9" s="244" t="s">
        <v>92</v>
      </c>
      <c r="D9" s="246">
        <f t="shared" si="4"/>
        <v>1</v>
      </c>
      <c r="E9" s="247">
        <f>+'2.1.4'!G11</f>
        <v>0</v>
      </c>
      <c r="F9" s="247">
        <f>+'2.1.4'!G18</f>
        <v>0</v>
      </c>
      <c r="G9" s="247">
        <f>+'2.1.4'!G25</f>
        <v>0</v>
      </c>
      <c r="H9" s="247">
        <f>+'2.1.4'!G29</f>
        <v>0</v>
      </c>
      <c r="I9" s="247">
        <f>+'2.1.4'!G30</f>
        <v>0</v>
      </c>
      <c r="J9" s="247">
        <f>SUM(E9:I9)</f>
        <v>0</v>
      </c>
      <c r="K9" s="247">
        <f t="shared" si="1"/>
        <v>0</v>
      </c>
      <c r="L9" s="247">
        <f>+$D9*F9</f>
        <v>0</v>
      </c>
      <c r="M9" s="247">
        <f t="shared" ref="M9:M15" si="5">+$D9*G9</f>
        <v>0</v>
      </c>
      <c r="N9" s="247">
        <f t="shared" si="2"/>
        <v>0</v>
      </c>
      <c r="O9" s="247">
        <f t="shared" si="2"/>
        <v>0</v>
      </c>
      <c r="P9" s="247">
        <f t="shared" si="3"/>
        <v>0</v>
      </c>
    </row>
    <row r="10" spans="1:18" s="18" customFormat="1" ht="72" customHeight="1">
      <c r="A10" s="244" t="s">
        <v>574</v>
      </c>
      <c r="B10" s="245" t="s">
        <v>575</v>
      </c>
      <c r="C10" s="244" t="s">
        <v>92</v>
      </c>
      <c r="D10" s="246">
        <f t="shared" si="4"/>
        <v>1</v>
      </c>
      <c r="E10" s="247">
        <f>+'2.1.5'!G11</f>
        <v>0</v>
      </c>
      <c r="F10" s="247">
        <f>+'2.1.5'!G18</f>
        <v>0</v>
      </c>
      <c r="G10" s="247">
        <f>+'2.1.5'!G25</f>
        <v>0</v>
      </c>
      <c r="H10" s="247">
        <f>+'2.1.5'!G29</f>
        <v>0</v>
      </c>
      <c r="I10" s="247">
        <f>+'2.1.5'!G30</f>
        <v>0</v>
      </c>
      <c r="J10" s="247">
        <f>SUM(E10:I10)</f>
        <v>0</v>
      </c>
      <c r="K10" s="247">
        <f t="shared" si="1"/>
        <v>0</v>
      </c>
      <c r="L10" s="247">
        <f>+$D10*F10</f>
        <v>0</v>
      </c>
      <c r="M10" s="247">
        <f t="shared" si="5"/>
        <v>0</v>
      </c>
      <c r="N10" s="247">
        <f t="shared" si="2"/>
        <v>0</v>
      </c>
      <c r="O10" s="247">
        <f t="shared" si="2"/>
        <v>0</v>
      </c>
      <c r="P10" s="247">
        <f t="shared" si="3"/>
        <v>0</v>
      </c>
      <c r="R10" s="28"/>
    </row>
    <row r="11" spans="1:18" s="18" customFormat="1" ht="50">
      <c r="A11" s="244" t="s">
        <v>576</v>
      </c>
      <c r="B11" s="245" t="s">
        <v>577</v>
      </c>
      <c r="C11" s="244" t="s">
        <v>92</v>
      </c>
      <c r="D11" s="246">
        <f t="shared" si="4"/>
        <v>1</v>
      </c>
      <c r="E11" s="247">
        <f>+'2.1.6'!G11</f>
        <v>0</v>
      </c>
      <c r="F11" s="247">
        <f>+'2.1.6'!G18</f>
        <v>0</v>
      </c>
      <c r="G11" s="247">
        <f>+'2.1.6'!G25</f>
        <v>0</v>
      </c>
      <c r="H11" s="247">
        <f>+'2.1.6'!G29</f>
        <v>0</v>
      </c>
      <c r="I11" s="247">
        <f>+'2.1.6'!G30</f>
        <v>0</v>
      </c>
      <c r="J11" s="247">
        <f>SUM(E11:I11)</f>
        <v>0</v>
      </c>
      <c r="K11" s="247">
        <f t="shared" si="1"/>
        <v>0</v>
      </c>
      <c r="L11" s="247">
        <f>+$D11*F11</f>
        <v>0</v>
      </c>
      <c r="M11" s="247">
        <f t="shared" si="5"/>
        <v>0</v>
      </c>
      <c r="N11" s="247">
        <f t="shared" si="2"/>
        <v>0</v>
      </c>
      <c r="O11" s="247">
        <f t="shared" si="2"/>
        <v>0</v>
      </c>
      <c r="P11" s="247">
        <f t="shared" si="3"/>
        <v>0</v>
      </c>
      <c r="R11" s="28"/>
    </row>
    <row r="12" spans="1:18" s="18" customFormat="1" ht="58.15" customHeight="1">
      <c r="A12" s="244" t="s">
        <v>578</v>
      </c>
      <c r="B12" s="245" t="s">
        <v>579</v>
      </c>
      <c r="C12" s="244" t="s">
        <v>92</v>
      </c>
      <c r="D12" s="246">
        <f t="shared" si="4"/>
        <v>1</v>
      </c>
      <c r="E12" s="247">
        <f>+'2.1.7'!G14</f>
        <v>0</v>
      </c>
      <c r="F12" s="247">
        <f>+'2.1.7'!G21</f>
        <v>0</v>
      </c>
      <c r="G12" s="247">
        <f>+'2.1.7'!G28</f>
        <v>0</v>
      </c>
      <c r="H12" s="247">
        <f>+'2.1.7'!G32</f>
        <v>0</v>
      </c>
      <c r="I12" s="247">
        <f>+'2.1.7'!G33</f>
        <v>0</v>
      </c>
      <c r="J12" s="247">
        <f t="shared" ref="J12" si="6">SUM(E12:I12)</f>
        <v>0</v>
      </c>
      <c r="K12" s="247">
        <f t="shared" si="1"/>
        <v>0</v>
      </c>
      <c r="L12" s="247">
        <f>+$D12*F12</f>
        <v>0</v>
      </c>
      <c r="M12" s="247">
        <f t="shared" si="5"/>
        <v>0</v>
      </c>
      <c r="N12" s="247">
        <f t="shared" si="2"/>
        <v>0</v>
      </c>
      <c r="O12" s="247">
        <f t="shared" si="2"/>
        <v>0</v>
      </c>
      <c r="P12" s="247">
        <f t="shared" si="3"/>
        <v>0</v>
      </c>
    </row>
    <row r="13" spans="1:18" s="18" customFormat="1" ht="21.65" customHeight="1">
      <c r="A13" s="382" t="str">
        <f>+'PRES GENERAL MR'!A8</f>
        <v>2.2</v>
      </c>
      <c r="B13" s="383" t="str">
        <f>+'PRES GENERAL MR'!B8</f>
        <v>Estructura de soporte para paneles solares</v>
      </c>
      <c r="C13" s="384"/>
      <c r="D13" s="384"/>
      <c r="E13" s="384"/>
      <c r="F13" s="384"/>
      <c r="G13" s="384"/>
      <c r="H13" s="384"/>
      <c r="I13" s="384"/>
      <c r="J13" s="384"/>
      <c r="K13" s="384"/>
      <c r="L13" s="384"/>
      <c r="M13" s="384"/>
      <c r="N13" s="384"/>
      <c r="O13" s="384"/>
      <c r="P13" s="403"/>
      <c r="R13" s="28"/>
    </row>
    <row r="14" spans="1:18" s="18" customFormat="1" ht="56.5" customHeight="1">
      <c r="A14" s="244" t="s">
        <v>580</v>
      </c>
      <c r="B14" s="245" t="s">
        <v>581</v>
      </c>
      <c r="C14" s="244" t="s">
        <v>92</v>
      </c>
      <c r="D14" s="246">
        <f t="shared" si="4"/>
        <v>1</v>
      </c>
      <c r="E14" s="247"/>
      <c r="F14" s="247"/>
      <c r="G14" s="247"/>
      <c r="H14" s="247"/>
      <c r="I14" s="247"/>
      <c r="J14" s="247"/>
      <c r="K14" s="247"/>
      <c r="L14" s="247"/>
      <c r="M14" s="247"/>
      <c r="N14" s="247"/>
      <c r="O14" s="247"/>
      <c r="P14" s="247"/>
    </row>
    <row r="15" spans="1:18" s="18" customFormat="1" ht="46.15" customHeight="1">
      <c r="A15" s="244" t="s">
        <v>582</v>
      </c>
      <c r="B15" s="405" t="s">
        <v>583</v>
      </c>
      <c r="C15" s="244" t="s">
        <v>92</v>
      </c>
      <c r="D15" s="246">
        <f t="shared" si="4"/>
        <v>1</v>
      </c>
      <c r="E15" s="247">
        <f>+'2.2.2'!G11</f>
        <v>0</v>
      </c>
      <c r="F15" s="247">
        <f>+'2.2.2'!G18</f>
        <v>0</v>
      </c>
      <c r="G15" s="247">
        <f>+'2.2.2'!G25</f>
        <v>0</v>
      </c>
      <c r="H15" s="247">
        <f>+'2.2.2'!G29</f>
        <v>0</v>
      </c>
      <c r="I15" s="247">
        <f>+'2.2.2'!G30</f>
        <v>0</v>
      </c>
      <c r="J15" s="247">
        <f t="shared" ref="J15" si="7">SUM(E15:I15)</f>
        <v>0</v>
      </c>
      <c r="K15" s="247">
        <f>+$D15*E15</f>
        <v>0</v>
      </c>
      <c r="L15" s="247">
        <f>+$D15*F15</f>
        <v>0</v>
      </c>
      <c r="M15" s="247">
        <f t="shared" si="5"/>
        <v>0</v>
      </c>
      <c r="N15" s="247">
        <f t="shared" si="2"/>
        <v>0</v>
      </c>
      <c r="O15" s="247">
        <f t="shared" si="2"/>
        <v>0</v>
      </c>
      <c r="P15" s="247">
        <f t="shared" si="3"/>
        <v>0</v>
      </c>
    </row>
    <row r="16" spans="1:18" s="18" customFormat="1" ht="37.15" customHeight="1">
      <c r="A16" s="382" t="str">
        <f>+'PRES GENERAL MR'!A9</f>
        <v>2.3</v>
      </c>
      <c r="B16" s="383" t="str">
        <f>+'PRES GENERAL MR'!B9</f>
        <v>Implementar Sistema de medición y gestión de energía</v>
      </c>
      <c r="C16" s="384"/>
      <c r="D16" s="384"/>
      <c r="E16" s="384"/>
      <c r="F16" s="384"/>
      <c r="G16" s="384"/>
      <c r="H16" s="384"/>
      <c r="I16" s="384"/>
      <c r="J16" s="384"/>
      <c r="K16" s="384"/>
      <c r="L16" s="384"/>
      <c r="M16" s="384"/>
      <c r="N16" s="384"/>
      <c r="O16" s="384"/>
      <c r="P16" s="403"/>
    </row>
    <row r="17" spans="1:16" s="18" customFormat="1" ht="47.5" customHeight="1">
      <c r="A17" s="244" t="s">
        <v>584</v>
      </c>
      <c r="B17" s="245" t="s">
        <v>585</v>
      </c>
      <c r="C17" s="244" t="s">
        <v>92</v>
      </c>
      <c r="D17" s="246">
        <f t="shared" si="4"/>
        <v>1</v>
      </c>
      <c r="E17" s="247">
        <f>+'2.3.1'!G22</f>
        <v>0</v>
      </c>
      <c r="F17" s="247">
        <f>+'2.3.1'!G29</f>
        <v>0</v>
      </c>
      <c r="G17" s="247">
        <f>+'2.3.1'!G36</f>
        <v>0</v>
      </c>
      <c r="H17" s="247">
        <f>+'2.3.1'!G40</f>
        <v>0</v>
      </c>
      <c r="I17" s="247">
        <f>+'2.3.1'!G41</f>
        <v>0</v>
      </c>
      <c r="J17" s="247">
        <f t="shared" ref="J17" si="8">SUM(E17:I17)</f>
        <v>0</v>
      </c>
      <c r="K17" s="247">
        <f t="shared" ref="K17:O17" si="9">+$D17*E17</f>
        <v>0</v>
      </c>
      <c r="L17" s="247">
        <f t="shared" si="9"/>
        <v>0</v>
      </c>
      <c r="M17" s="247">
        <f t="shared" si="9"/>
        <v>0</v>
      </c>
      <c r="N17" s="247">
        <f t="shared" si="9"/>
        <v>0</v>
      </c>
      <c r="O17" s="247">
        <f t="shared" si="9"/>
        <v>0</v>
      </c>
      <c r="P17" s="247">
        <f t="shared" si="3"/>
        <v>0</v>
      </c>
    </row>
    <row r="18" spans="1:16" s="18" customFormat="1" ht="47.5" customHeight="1">
      <c r="A18" s="382" t="str">
        <f>+'PRES GENERAL MR'!A10</f>
        <v>2.4</v>
      </c>
      <c r="B18" s="383" t="str">
        <f>+'PRES GENERAL MR'!B10</f>
        <v>Instalaciones Internas usuarios del sistema individual solar fotovoltaico</v>
      </c>
      <c r="C18" s="384"/>
      <c r="D18" s="384"/>
      <c r="E18" s="384"/>
      <c r="F18" s="384"/>
      <c r="G18" s="384"/>
      <c r="H18" s="384"/>
      <c r="I18" s="384"/>
      <c r="J18" s="384"/>
      <c r="K18" s="384"/>
      <c r="L18" s="384"/>
      <c r="M18" s="384"/>
      <c r="N18" s="384"/>
      <c r="O18" s="384"/>
      <c r="P18" s="403"/>
    </row>
    <row r="19" spans="1:16" s="18" customFormat="1" ht="50">
      <c r="A19" s="244" t="s">
        <v>586</v>
      </c>
      <c r="B19" s="245" t="s">
        <v>587</v>
      </c>
      <c r="C19" s="244" t="s">
        <v>92</v>
      </c>
      <c r="D19" s="246">
        <f t="shared" si="4"/>
        <v>1</v>
      </c>
      <c r="E19" s="247">
        <f>+'2.4.1'!G25</f>
        <v>0</v>
      </c>
      <c r="F19" s="247">
        <f>+'2.4.1'!G32</f>
        <v>0</v>
      </c>
      <c r="G19" s="247">
        <f>+'2.4.1'!G39</f>
        <v>0</v>
      </c>
      <c r="H19" s="247">
        <f>+'2.4.1'!G43</f>
        <v>0</v>
      </c>
      <c r="I19" s="247">
        <f>+'2.4.1'!G44</f>
        <v>0</v>
      </c>
      <c r="J19" s="247">
        <f t="shared" ref="J19" si="10">SUM(E19:I19)</f>
        <v>0</v>
      </c>
      <c r="K19" s="247">
        <f t="shared" ref="K19" si="11">+$D19*E19</f>
        <v>0</v>
      </c>
      <c r="L19" s="247">
        <f t="shared" ref="L19" si="12">+$D19*F19</f>
        <v>0</v>
      </c>
      <c r="M19" s="247">
        <f t="shared" ref="M19" si="13">+$D19*G19</f>
        <v>0</v>
      </c>
      <c r="N19" s="247">
        <f t="shared" ref="N19" si="14">+$D19*H19</f>
        <v>0</v>
      </c>
      <c r="O19" s="247">
        <f t="shared" ref="O19" si="15">+$D19*I19</f>
        <v>0</v>
      </c>
      <c r="P19" s="247">
        <f t="shared" ref="P19" si="16">J19*D19</f>
        <v>0</v>
      </c>
    </row>
    <row r="20" spans="1:16" s="18" customFormat="1" ht="18" customHeight="1">
      <c r="A20" s="532" t="s">
        <v>545</v>
      </c>
      <c r="B20" s="533"/>
      <c r="C20" s="533"/>
      <c r="D20" s="533"/>
      <c r="E20" s="533"/>
      <c r="F20" s="533"/>
      <c r="G20" s="533"/>
      <c r="H20" s="533"/>
      <c r="I20" s="533"/>
      <c r="J20" s="534"/>
      <c r="K20" s="389">
        <f>SUM(K6:K19)</f>
        <v>0</v>
      </c>
      <c r="L20" s="389">
        <f t="shared" ref="L20:O20" si="17">SUM(L6:L19)</f>
        <v>0</v>
      </c>
      <c r="M20" s="389">
        <f t="shared" si="17"/>
        <v>0</v>
      </c>
      <c r="N20" s="389">
        <f t="shared" si="17"/>
        <v>0</v>
      </c>
      <c r="O20" s="389">
        <f t="shared" si="17"/>
        <v>0</v>
      </c>
      <c r="P20" s="389">
        <f>SUM(P6:P19)</f>
        <v>0</v>
      </c>
    </row>
    <row r="21" spans="1:16" ht="23.5" customHeight="1"/>
    <row r="22" spans="1:16" ht="23.5" customHeight="1"/>
    <row r="23" spans="1:16" ht="23.5" customHeight="1"/>
    <row r="24" spans="1:16" ht="33" customHeight="1"/>
    <row r="25" spans="1:16" ht="23.5" customHeight="1"/>
    <row r="30" spans="1:16" ht="13">
      <c r="O30" s="16"/>
      <c r="P30" s="402"/>
    </row>
    <row r="31" spans="1:16" ht="13">
      <c r="O31" s="16"/>
      <c r="P31" s="402"/>
    </row>
  </sheetData>
  <mergeCells count="9">
    <mergeCell ref="A1:P1"/>
    <mergeCell ref="A20:J20"/>
    <mergeCell ref="A2:P2"/>
    <mergeCell ref="A3:A4"/>
    <mergeCell ref="B3:B4"/>
    <mergeCell ref="C3:C4"/>
    <mergeCell ref="D3:D4"/>
    <mergeCell ref="E3:J3"/>
    <mergeCell ref="K3:P3"/>
  </mergeCells>
  <phoneticPr fontId="72" type="noConversion"/>
  <pageMargins left="0.84" right="0.79" top="0.55118110236220474" bottom="0.43307086614173229" header="0.31496062992125984" footer="0.31496062992125984"/>
  <pageSetup scale="3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2C08E-5602-4B99-9DE2-AC5B10338065}">
  <sheetPr codeName="Hoja35">
    <tabColor theme="4" tint="0.59999389629810485"/>
    <pageSetUpPr fitToPage="1"/>
  </sheetPr>
  <dimension ref="A1:G43"/>
  <sheetViews>
    <sheetView showGridLines="0" view="pageBreakPreview" zoomScale="80" zoomScaleNormal="120" zoomScaleSheetLayoutView="80" workbookViewId="0">
      <selection activeCell="A4" sqref="A4:A4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KW'!A14</f>
        <v>3.1.9</v>
      </c>
      <c r="D3" s="31"/>
      <c r="E3" s="31"/>
      <c r="F3" s="31"/>
      <c r="G3" s="32" t="s">
        <v>652</v>
      </c>
    </row>
    <row r="4" spans="1:7" ht="99.65" customHeight="1">
      <c r="B4" s="649" t="str">
        <f>+'PRES MR 5 KW'!B14</f>
        <v>Suministro, transporte e instalación de autotransformador trifásico 5 kVA, eficiencia 96%, Envolvente IP40, conexión Y/Y 120/240 V</v>
      </c>
      <c r="C4" s="655"/>
      <c r="D4" s="655"/>
      <c r="E4" s="656"/>
      <c r="G4" s="33" t="str">
        <f>+'PRES MR 5 KW'!C14</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461</v>
      </c>
      <c r="B8" s="69" t="str">
        <f>VLOOKUP(A8,Materiales3[],3,FALSE)</f>
        <v xml:space="preserve">Autotransformador tipo split 120/240AC, 32A </v>
      </c>
      <c r="C8" s="40" t="str">
        <f>VLOOKUP(A8,Materiales3[],4,FALSE)</f>
        <v>UN</v>
      </c>
      <c r="D8" s="41">
        <v>1</v>
      </c>
      <c r="E8" s="40">
        <f>VLOOKUP(A8,Materiales3[],5,FALSE)*D8</f>
        <v>13.5</v>
      </c>
      <c r="F8" s="42">
        <f>VLOOKUP(A8,Materiales3[],6,FALSE)</f>
        <v>0</v>
      </c>
      <c r="G8" s="42">
        <f t="shared" ref="G8:G14" si="0">D8*F8</f>
        <v>0</v>
      </c>
    </row>
    <row r="9" spans="1:7" ht="14.5">
      <c r="A9" s="89">
        <v>24</v>
      </c>
      <c r="B9" s="69" t="str">
        <f>VLOOKUP(A9,Materiales3[],3,FALSE)</f>
        <v>Borna para ponchar varios calibres y terminales</v>
      </c>
      <c r="C9" s="40" t="str">
        <f>VLOOKUP(A9,Materiales3[],4,FALSE)</f>
        <v>UN</v>
      </c>
      <c r="D9" s="41">
        <v>4</v>
      </c>
      <c r="E9" s="40">
        <f>VLOOKUP(A9,Materiales3[],5,FALSE)*D9</f>
        <v>3.2000000000000001E-2</v>
      </c>
      <c r="F9" s="42">
        <f>VLOOKUP(A9,Materiales3[],6,FALSE)</f>
        <v>0</v>
      </c>
      <c r="G9" s="42">
        <f t="shared" si="0"/>
        <v>0</v>
      </c>
    </row>
    <row r="10" spans="1:7" ht="14.5">
      <c r="A10" s="89">
        <v>25</v>
      </c>
      <c r="B10" s="69" t="str">
        <f>VLOOKUP(A10,Materiales3[],3,FALSE)</f>
        <v>Tubo termoencogible. Distintos calibres, distintos colores</v>
      </c>
      <c r="C10" s="40" t="str">
        <f>VLOOKUP(A10,Materiales3[],4,FALSE)</f>
        <v>UN</v>
      </c>
      <c r="D10" s="41">
        <v>4</v>
      </c>
      <c r="E10" s="40">
        <f>VLOOKUP(A10,Materiales3[],5,FALSE)*D10</f>
        <v>3.2000000000000001E-2</v>
      </c>
      <c r="F10" s="42">
        <f>VLOOKUP(A10,Materiales3[],6,FALSE)</f>
        <v>0</v>
      </c>
      <c r="G10" s="42">
        <f t="shared" si="0"/>
        <v>0</v>
      </c>
    </row>
    <row r="11" spans="1:7" ht="14.5">
      <c r="A11" s="89">
        <v>241</v>
      </c>
      <c r="B11" s="69" t="str">
        <f>VLOOKUP(A11,Materiales3[],3,FALSE)</f>
        <v>Cable Cu THHN 6 AWG</v>
      </c>
      <c r="C11" s="40" t="str">
        <f>VLOOKUP(A11,Materiales3[],4,FALSE)</f>
        <v>ML</v>
      </c>
      <c r="D11" s="60">
        <f>3*3*1.05</f>
        <v>9.4500000000000011</v>
      </c>
      <c r="E11" s="40">
        <f>VLOOKUP(A11,Materiales3[],5,FALSE)*D11</f>
        <v>1.5876000000000003</v>
      </c>
      <c r="F11" s="42">
        <f>VLOOKUP(A11,Materiales3[],6,FALSE)</f>
        <v>0</v>
      </c>
      <c r="G11" s="42">
        <f t="shared" si="0"/>
        <v>0</v>
      </c>
    </row>
    <row r="12" spans="1:7" ht="14.5">
      <c r="A12" s="89">
        <v>124</v>
      </c>
      <c r="B12" s="69" t="str">
        <f>VLOOKUP(A12,Materiales3[],3,FALSE)</f>
        <v>Cable Cu THHN 12 AWG</v>
      </c>
      <c r="C12" s="40" t="str">
        <f>VLOOKUP(A12,Materiales3[],4,FALSE)</f>
        <v>ML</v>
      </c>
      <c r="D12" s="60">
        <f>1*3*1.05</f>
        <v>3.1500000000000004</v>
      </c>
      <c r="E12" s="40">
        <f>VLOOKUP(A12,Materiales3[],5,FALSE)*D12</f>
        <v>0.10710000000000001</v>
      </c>
      <c r="F12" s="42">
        <f>VLOOKUP(A12,Materiales3[],6,FALSE)</f>
        <v>0</v>
      </c>
      <c r="G12" s="42">
        <f t="shared" ref="G12" si="1">D12*F12</f>
        <v>0</v>
      </c>
    </row>
    <row r="13" spans="1:7" ht="14.5">
      <c r="A13" s="89">
        <v>137</v>
      </c>
      <c r="B13" s="69" t="str">
        <f>VLOOKUP(A13,Materiales3[],3,FALSE)</f>
        <v xml:space="preserve">Canaleta ranurada dexon 25 x 40 mm </v>
      </c>
      <c r="C13" s="40" t="str">
        <f>VLOOKUP(A13,Materiales3[],4,FALSE)</f>
        <v>ML</v>
      </c>
      <c r="D13" s="60">
        <v>2</v>
      </c>
      <c r="E13" s="40">
        <f>VLOOKUP(A13,Materiales3[],5,FALSE)*D13</f>
        <v>0.2</v>
      </c>
      <c r="F13" s="42">
        <f>VLOOKUP(A13,Materiales3[],6,FALSE)</f>
        <v>0</v>
      </c>
      <c r="G13" s="42">
        <f t="shared" si="0"/>
        <v>0</v>
      </c>
    </row>
    <row r="14" spans="1:7" ht="14.5">
      <c r="A14" s="89">
        <v>104</v>
      </c>
      <c r="B14" s="69" t="str">
        <f>VLOOKUP(A14,Materiales3[],3,FALSE)</f>
        <v xml:space="preserve">Canaleta ranurada dexon 40 x 40 mm </v>
      </c>
      <c r="C14" s="40" t="str">
        <f>VLOOKUP(A14,Materiales3[],4,FALSE)</f>
        <v>ML</v>
      </c>
      <c r="D14" s="60">
        <v>2</v>
      </c>
      <c r="E14" s="40">
        <f>VLOOKUP(A14,Materiales3[],5,FALSE)*D14</f>
        <v>0.3</v>
      </c>
      <c r="F14" s="42">
        <f>VLOOKUP(A14,Materiales3[],6,FALSE)</f>
        <v>0</v>
      </c>
      <c r="G14" s="42">
        <f t="shared" si="0"/>
        <v>0</v>
      </c>
    </row>
    <row r="15" spans="1:7" ht="14.5">
      <c r="A15" s="4">
        <v>246</v>
      </c>
      <c r="B15" s="69" t="str">
        <f>VLOOKUP(A15,Materiales3[],3,FALSE)&amp;" Verde"</f>
        <v>Cable Cu THHN 8 AWG Verde</v>
      </c>
      <c r="C15" s="40" t="str">
        <f>VLOOKUP(A15,Materiales3[],4,FALSE)</f>
        <v>ML</v>
      </c>
      <c r="D15" s="40">
        <f>3*1.05</f>
        <v>3.1500000000000004</v>
      </c>
      <c r="E15" s="40">
        <f>VLOOKUP(A15,Materiales3[],5,FALSE)*D15</f>
        <v>0.30240000000000006</v>
      </c>
      <c r="F15" s="42">
        <f>VLOOKUP(A15,Materiales3[],6,FALSE)</f>
        <v>0</v>
      </c>
      <c r="G15" s="42">
        <f t="shared" ref="G15" si="2">D15*F15</f>
        <v>0</v>
      </c>
    </row>
    <row r="16" spans="1:7" ht="27" customHeight="1">
      <c r="A16" s="4">
        <v>49</v>
      </c>
      <c r="B16" s="69" t="str">
        <f>VLOOKUP(A16,Materiales3[],3,FALSE)&amp;" Verde"</f>
        <v>Union rápida para curvas canaleta conduit. Difertentes medidas Verde</v>
      </c>
      <c r="C16" s="40" t="str">
        <f>VLOOKUP(A16,Materiales3[],4,FALSE)</f>
        <v>UN</v>
      </c>
      <c r="D16" s="40">
        <v>2</v>
      </c>
      <c r="E16" s="40">
        <f>VLOOKUP(A16,Materiales3[],5,FALSE)*D16</f>
        <v>0.2</v>
      </c>
      <c r="F16" s="42">
        <f>VLOOKUP(A16,Materiales3[],6,FALSE)</f>
        <v>0</v>
      </c>
      <c r="G16" s="42">
        <f t="shared" ref="G16" si="3">D16*F16</f>
        <v>0</v>
      </c>
    </row>
    <row r="17" spans="1:7" ht="14.5">
      <c r="A17" s="4">
        <v>50</v>
      </c>
      <c r="B17" s="69" t="str">
        <f>VLOOKUP(A17,Materiales3[],3,FALSE)&amp;" Verde"</f>
        <v>Union con tornillo para canaleta (tipo perro) Verde</v>
      </c>
      <c r="C17" s="40" t="str">
        <f>VLOOKUP(A17,Materiales3[],4,FALSE)</f>
        <v>UN</v>
      </c>
      <c r="D17" s="40">
        <v>2</v>
      </c>
      <c r="E17" s="40">
        <f>VLOOKUP(A17,Materiales3[],5,FALSE)*D17</f>
        <v>0.1</v>
      </c>
      <c r="F17" s="42">
        <f>VLOOKUP(A17,Materiales3[],6,FALSE)</f>
        <v>0</v>
      </c>
      <c r="G17" s="42">
        <f t="shared" ref="G17:G19" si="4">D17*F17</f>
        <v>0</v>
      </c>
    </row>
    <row r="18" spans="1:7" ht="14.5">
      <c r="A18" s="4">
        <v>51</v>
      </c>
      <c r="B18" s="69" t="str">
        <f>VLOOKUP(A18,Materiales3[],3,FALSE)&amp;" Verde"</f>
        <v>Union rápida para canaleta EDRN Verde</v>
      </c>
      <c r="C18" s="40" t="str">
        <f>VLOOKUP(A18,Materiales3[],4,FALSE)</f>
        <v>UN</v>
      </c>
      <c r="D18" s="40">
        <v>1</v>
      </c>
      <c r="E18" s="40">
        <f>VLOOKUP(A18,Materiales3[],5,FALSE)*D18</f>
        <v>0.05</v>
      </c>
      <c r="F18" s="42">
        <f>VLOOKUP(A18,Materiales3[],6,FALSE)</f>
        <v>0</v>
      </c>
      <c r="G18" s="42">
        <f t="shared" si="4"/>
        <v>0</v>
      </c>
    </row>
    <row r="19" spans="1:7" ht="30" customHeight="1">
      <c r="A19" s="4">
        <v>47</v>
      </c>
      <c r="B19" s="69" t="str">
        <f>VLOOKUP(A19,Materiales3[],3,FALSE)&amp;" Verde"</f>
        <v>Accesorios para fijación de canaleta (tornillería, pegante, chazos, etc) Verde</v>
      </c>
      <c r="C19" s="40" t="str">
        <f>VLOOKUP(A19,Materiales3[],4,FALSE)</f>
        <v>JG</v>
      </c>
      <c r="D19" s="40">
        <v>4</v>
      </c>
      <c r="E19" s="40">
        <f>VLOOKUP(A19,Materiales3[],5,FALSE)*D19</f>
        <v>0.8</v>
      </c>
      <c r="F19" s="42">
        <f>VLOOKUP(A19,Materiales3[],6,FALSE)</f>
        <v>0</v>
      </c>
      <c r="G19" s="42">
        <f t="shared" si="4"/>
        <v>0</v>
      </c>
    </row>
    <row r="20" spans="1:7" ht="13">
      <c r="D20" s="47"/>
      <c r="E20" s="47"/>
      <c r="F20" s="48" t="s">
        <v>654</v>
      </c>
      <c r="G20" s="49">
        <f>SUM(G8:G19)</f>
        <v>0</v>
      </c>
    </row>
    <row r="21" spans="1:7">
      <c r="G21" s="73"/>
    </row>
    <row r="22" spans="1:7" ht="13">
      <c r="B22" s="50" t="s">
        <v>655</v>
      </c>
      <c r="G22" s="74"/>
    </row>
    <row r="23" spans="1:7" ht="13">
      <c r="A23" s="88" t="s">
        <v>138</v>
      </c>
      <c r="B23" s="37" t="s">
        <v>19</v>
      </c>
      <c r="C23" s="38" t="s">
        <v>665</v>
      </c>
      <c r="D23" s="38" t="s">
        <v>656</v>
      </c>
      <c r="E23" s="38"/>
      <c r="F23" s="38" t="s">
        <v>21</v>
      </c>
      <c r="G23" s="38" t="s">
        <v>286</v>
      </c>
    </row>
    <row r="24" spans="1:7" ht="14.5">
      <c r="A24" s="89">
        <v>1</v>
      </c>
      <c r="B24" s="43" t="str">
        <f>VLOOKUP(A24,Equipoyherramienta[],2,FALSE)</f>
        <v>Herramienta menor</v>
      </c>
      <c r="C24" s="44" t="str">
        <f>VLOOKUP(A24,Equipoyherramienta[],3,FALSE)</f>
        <v>UN</v>
      </c>
      <c r="D24" s="51">
        <f>VLOOKUP(A24,Equipoyherramienta[],4,FALSE)</f>
        <v>0</v>
      </c>
      <c r="E24" s="51"/>
      <c r="F24" s="71">
        <f>+RENDIMIENTOS!C38</f>
        <v>3</v>
      </c>
      <c r="G24" s="51">
        <f>ROUND(D24/F24,0)</f>
        <v>0</v>
      </c>
    </row>
    <row r="25" spans="1:7">
      <c r="B25" s="43"/>
      <c r="C25" s="44"/>
      <c r="D25" s="46"/>
      <c r="E25" s="46"/>
      <c r="F25" s="52"/>
      <c r="G25" s="53"/>
    </row>
    <row r="26" spans="1:7">
      <c r="B26" s="43"/>
      <c r="C26" s="44"/>
      <c r="D26" s="46"/>
      <c r="E26" s="46"/>
      <c r="F26" s="52"/>
      <c r="G26" s="53"/>
    </row>
    <row r="27" spans="1:7" ht="13">
      <c r="D27" s="47"/>
      <c r="E27" s="47"/>
      <c r="F27" s="48" t="s">
        <v>654</v>
      </c>
      <c r="G27" s="49">
        <f>SUM(G24:G26)</f>
        <v>0</v>
      </c>
    </row>
    <row r="28" spans="1:7" ht="13">
      <c r="D28" s="47"/>
      <c r="E28" s="47"/>
      <c r="F28" s="47"/>
      <c r="G28" s="54"/>
    </row>
    <row r="29" spans="1:7" ht="13">
      <c r="B29" s="36" t="s">
        <v>657</v>
      </c>
      <c r="G29" s="55"/>
    </row>
    <row r="30" spans="1:7" ht="13">
      <c r="A30" s="88" t="s">
        <v>138</v>
      </c>
      <c r="B30" s="37" t="s">
        <v>19</v>
      </c>
      <c r="C30" s="38" t="s">
        <v>284</v>
      </c>
      <c r="D30" s="38" t="s">
        <v>410</v>
      </c>
      <c r="E30" s="38"/>
      <c r="F30" s="38" t="s">
        <v>666</v>
      </c>
      <c r="G30" s="56" t="s">
        <v>286</v>
      </c>
    </row>
    <row r="31" spans="1:7" ht="50">
      <c r="A31" s="89">
        <v>6</v>
      </c>
      <c r="B31" s="57" t="str">
        <f>VLOOKUP(A31,Transp.[],2,FALSE)</f>
        <v>Carga terrestre desde Barranquilla hasta Usuario, incluye cargues, descargues, cruces de río, transporte semoviente, transporte en vehículo de carga pesada y cualquier otro tranposte.</v>
      </c>
      <c r="C31" s="40" t="s">
        <v>667</v>
      </c>
      <c r="D31" s="41">
        <f>SUM(E8:E19)</f>
        <v>17.211100000000002</v>
      </c>
      <c r="E31" s="41"/>
      <c r="F31" s="59">
        <f>VLOOKUP(A31,Transp.[],6,FALSE)</f>
        <v>0</v>
      </c>
      <c r="G31" s="59">
        <f>D31*F31</f>
        <v>0</v>
      </c>
    </row>
    <row r="32" spans="1:7" ht="13.15" customHeight="1">
      <c r="A32" s="89"/>
      <c r="B32" s="57"/>
      <c r="C32" s="40"/>
      <c r="D32" s="41"/>
      <c r="E32" s="41"/>
      <c r="F32" s="59"/>
      <c r="G32" s="59"/>
    </row>
    <row r="33" spans="1:7" ht="13.15" customHeight="1">
      <c r="A33" s="89"/>
      <c r="B33" s="57"/>
      <c r="C33" s="40"/>
      <c r="D33" s="41"/>
      <c r="E33" s="41"/>
      <c r="F33" s="59"/>
      <c r="G33" s="59"/>
    </row>
    <row r="34" spans="1:7" ht="13">
      <c r="D34" s="47"/>
      <c r="E34" s="47"/>
      <c r="F34" s="61" t="s">
        <v>654</v>
      </c>
      <c r="G34" s="49">
        <f>SUM(G31:G33)</f>
        <v>0</v>
      </c>
    </row>
    <row r="36" spans="1:7" ht="13">
      <c r="B36" s="36" t="s">
        <v>661</v>
      </c>
      <c r="D36" s="62"/>
      <c r="E36" s="62"/>
      <c r="F36" s="63"/>
      <c r="G36" s="55"/>
    </row>
    <row r="37" spans="1:7" s="47" customFormat="1" ht="13">
      <c r="A37" s="88" t="s">
        <v>138</v>
      </c>
      <c r="B37" s="38" t="s">
        <v>19</v>
      </c>
      <c r="C37" s="38" t="s">
        <v>662</v>
      </c>
      <c r="D37" s="38" t="s">
        <v>663</v>
      </c>
      <c r="E37" s="38"/>
      <c r="F37" s="38" t="s">
        <v>21</v>
      </c>
      <c r="G37" s="56" t="s">
        <v>286</v>
      </c>
    </row>
    <row r="38" spans="1:7" ht="14.5">
      <c r="A38" s="89">
        <v>1</v>
      </c>
      <c r="B38" s="64" t="str">
        <f>VLOOKUP(A38,ManoObra[],2,FALSE)</f>
        <v>Electricista</v>
      </c>
      <c r="C38" s="65">
        <f>VLOOKUP(A38,ManoObra[],8,FALSE)</f>
        <v>0</v>
      </c>
      <c r="D38" s="52">
        <f>+FP!E27</f>
        <v>0</v>
      </c>
      <c r="E38" s="52"/>
      <c r="F38" s="71">
        <f>F24</f>
        <v>3</v>
      </c>
      <c r="G38" s="51">
        <f>ROUND(C38*D38/F38,0)</f>
        <v>0</v>
      </c>
    </row>
    <row r="39" spans="1:7" ht="14.5">
      <c r="A39" s="89">
        <v>2</v>
      </c>
      <c r="B39" s="64" t="str">
        <f>VLOOKUP(A39,ManoObra[],2,FALSE)</f>
        <v>Ayudante</v>
      </c>
      <c r="C39" s="65">
        <f>VLOOKUP(A39,ManoObra[],8,FALSE)</f>
        <v>0</v>
      </c>
      <c r="D39" s="52">
        <f>+FP!E27</f>
        <v>0</v>
      </c>
      <c r="E39" s="52"/>
      <c r="F39" s="71">
        <f>F24</f>
        <v>3</v>
      </c>
      <c r="G39" s="51">
        <f>ROUND(C39*D39/F39,0)</f>
        <v>0</v>
      </c>
    </row>
    <row r="40" spans="1:7" ht="14.5">
      <c r="A40" s="89"/>
      <c r="B40" s="70"/>
      <c r="C40" s="65"/>
      <c r="D40" s="52"/>
      <c r="E40" s="52"/>
      <c r="F40" s="45"/>
      <c r="G40" s="51"/>
    </row>
    <row r="41" spans="1:7" ht="13">
      <c r="D41" s="47"/>
      <c r="E41" s="47"/>
      <c r="F41" s="61" t="s">
        <v>654</v>
      </c>
      <c r="G41" s="75">
        <f>SUM(G38:G40)</f>
        <v>0</v>
      </c>
    </row>
    <row r="42" spans="1:7" ht="13">
      <c r="D42" s="47"/>
      <c r="E42" s="47"/>
      <c r="G42" s="55"/>
    </row>
    <row r="43" spans="1:7" ht="12.75" customHeight="1">
      <c r="B43" s="47"/>
      <c r="D43" s="652" t="s">
        <v>664</v>
      </c>
      <c r="E43" s="654"/>
      <c r="F43" s="653"/>
      <c r="G43" s="66">
        <f>G20+G27+G34+G41</f>
        <v>0</v>
      </c>
    </row>
  </sheetData>
  <mergeCells count="3">
    <mergeCell ref="B1:G1"/>
    <mergeCell ref="B4:E4"/>
    <mergeCell ref="D43:F43"/>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667F5-EB8E-4A4F-BA03-E7CF3386E10B}">
  <sheetPr codeName="Hoja36">
    <tabColor theme="4" tint="0.59999389629810485"/>
    <pageSetUpPr fitToPage="1"/>
  </sheetPr>
  <dimension ref="A1:G44"/>
  <sheetViews>
    <sheetView showGridLines="0" view="pageBreakPreview" zoomScale="80" zoomScaleNormal="120" zoomScaleSheetLayoutView="80" workbookViewId="0">
      <selection activeCell="A4" sqref="A4:A45"/>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KW'!A15</f>
        <v>3.1.10</v>
      </c>
      <c r="D3" s="31"/>
      <c r="E3" s="31"/>
      <c r="F3" s="31"/>
      <c r="G3" s="32" t="s">
        <v>652</v>
      </c>
    </row>
    <row r="4" spans="1:7" ht="59.5" customHeight="1">
      <c r="B4" s="649" t="str">
        <f>+'PRES MR 5 KW'!B15</f>
        <v>Suministro, transporte e instalación de tablero de distribución en AC, para 6 circuitos. Incluye barrajes de 70 A, DPS tipo 1+2, protección de entrada de 25 A 120 VAC y protecciones de circuitos de 20 A.</v>
      </c>
      <c r="C4" s="655"/>
      <c r="D4" s="655"/>
      <c r="E4" s="656"/>
      <c r="G4" s="33" t="str">
        <f>+'PRES MR 5 KW'!C15</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135</v>
      </c>
      <c r="B8" s="69" t="str">
        <f>VLOOKUP(A8,Materiales3[],3,FALSE)</f>
        <v>Barra bornera tierra con soporte plástico riel din de 10 cm</v>
      </c>
      <c r="C8" s="40" t="str">
        <f>VLOOKUP(A8,Materiales3[],4,FALSE)</f>
        <v>UN</v>
      </c>
      <c r="D8" s="40">
        <v>1</v>
      </c>
      <c r="E8" s="40">
        <f>VLOOKUP(A8,Materiales3[],5,FALSE)*D8</f>
        <v>0.5</v>
      </c>
      <c r="F8" s="42">
        <f>VLOOKUP(A8,Materiales3[],6,FALSE)</f>
        <v>0</v>
      </c>
      <c r="G8" s="42">
        <f>D8*F8</f>
        <v>0</v>
      </c>
    </row>
    <row r="9" spans="1:7" ht="25">
      <c r="A9" s="89">
        <v>184</v>
      </c>
      <c r="B9" s="69" t="str">
        <f>VLOOKUP(A9,Materiales3[],3,FALSE)</f>
        <v>Barraje de cobre tropicalizado de 70 A para 16 conexiones</v>
      </c>
      <c r="C9" s="40" t="str">
        <f>VLOOKUP(A9,Materiales3[],4,FALSE)</f>
        <v>UN</v>
      </c>
      <c r="D9" s="40">
        <v>3</v>
      </c>
      <c r="E9" s="40">
        <f>VLOOKUP(A9,Materiales3[],5,FALSE)*D9</f>
        <v>1.1400000000000001</v>
      </c>
      <c r="F9" s="42">
        <f>VLOOKUP(A9,Materiales3[],6,FALSE)</f>
        <v>0</v>
      </c>
      <c r="G9" s="42">
        <f>D9*F9</f>
        <v>0</v>
      </c>
    </row>
    <row r="10" spans="1:7" ht="14.5">
      <c r="A10" s="89">
        <v>138</v>
      </c>
      <c r="B10" s="69" t="str">
        <f>VLOOKUP(A10,Materiales3[],3,FALSE)</f>
        <v>Cinta de amarre dexon 10 cm color blanco</v>
      </c>
      <c r="C10" s="40" t="str">
        <f>VLOOKUP(A10,Materiales3[],4,FALSE)</f>
        <v>UN</v>
      </c>
      <c r="D10" s="40">
        <v>10</v>
      </c>
      <c r="E10" s="40">
        <f>VLOOKUP(A10,Materiales3[],5,FALSE)*D10</f>
        <v>2</v>
      </c>
      <c r="F10" s="42">
        <f>VLOOKUP(A10,Materiales3[],6,FALSE)</f>
        <v>0</v>
      </c>
      <c r="G10" s="42">
        <f t="shared" ref="G10:G18" si="0">D10*F10</f>
        <v>0</v>
      </c>
    </row>
    <row r="11" spans="1:7" ht="45.65" customHeight="1">
      <c r="A11" s="89">
        <v>36</v>
      </c>
      <c r="B11" s="69" t="str">
        <f>VLOOKUP(A11,Materiales3[],3,FALSE)</f>
        <v>Gabinete eléctrico metálico con cumplimiento RETIE, con revestimiento eléctrostatico de dimensiones 250x700x100 IP66 Doble fondo.</v>
      </c>
      <c r="C11" s="40" t="str">
        <f>VLOOKUP(A11,Materiales3[],4,FALSE)</f>
        <v>UN</v>
      </c>
      <c r="D11" s="40">
        <v>1</v>
      </c>
      <c r="E11" s="40">
        <f>VLOOKUP(A11,Materiales3[],5,FALSE)*D11</f>
        <v>15</v>
      </c>
      <c r="F11" s="42">
        <f>VLOOKUP(A11,Materiales3[],6,FALSE)</f>
        <v>0</v>
      </c>
      <c r="G11" s="42">
        <f t="shared" si="0"/>
        <v>0</v>
      </c>
    </row>
    <row r="12" spans="1:7" ht="14.5">
      <c r="A12" s="89">
        <v>140</v>
      </c>
      <c r="B12" s="69" t="str">
        <f>VLOOKUP(A12,Materiales3[],3,FALSE)</f>
        <v>Marcador tipo anillo ar2 (+, -, L, N,T) x 20 Piezas</v>
      </c>
      <c r="C12" s="40" t="str">
        <f>VLOOKUP(A12,Materiales3[],4,FALSE)</f>
        <v>JG</v>
      </c>
      <c r="D12" s="40">
        <v>1</v>
      </c>
      <c r="E12" s="40">
        <f>VLOOKUP(A12,Materiales3[],5,FALSE)*D12</f>
        <v>0.01</v>
      </c>
      <c r="F12" s="42">
        <f>VLOOKUP(A12,Materiales3[],6,FALSE)</f>
        <v>0</v>
      </c>
      <c r="G12" s="42">
        <f t="shared" si="0"/>
        <v>0</v>
      </c>
    </row>
    <row r="13" spans="1:7" ht="14.5">
      <c r="A13" s="89">
        <v>24</v>
      </c>
      <c r="B13" s="69" t="str">
        <f>VLOOKUP(A13,Materiales3[],3,FALSE)</f>
        <v>Borna para ponchar varios calibres y terminales</v>
      </c>
      <c r="C13" s="40" t="str">
        <f>VLOOKUP(A13,Materiales3[],4,FALSE)</f>
        <v>UN</v>
      </c>
      <c r="D13" s="40">
        <v>30</v>
      </c>
      <c r="E13" s="40">
        <f>VLOOKUP(A13,Materiales3[],5,FALSE)*D13</f>
        <v>0.24</v>
      </c>
      <c r="F13" s="42">
        <f>VLOOKUP(A13,Materiales3[],6,FALSE)</f>
        <v>0</v>
      </c>
      <c r="G13" s="42">
        <f t="shared" si="0"/>
        <v>0</v>
      </c>
    </row>
    <row r="14" spans="1:7" ht="14.5">
      <c r="A14" s="89">
        <v>10</v>
      </c>
      <c r="B14" s="69" t="str">
        <f>VLOOKUP(A14,Materiales3[],3,FALSE)</f>
        <v>Riel DIN 35 mm x 7.5 mm</v>
      </c>
      <c r="C14" s="40" t="str">
        <f>VLOOKUP(A14,Materiales3[],4,FALSE)</f>
        <v>ML</v>
      </c>
      <c r="D14" s="40">
        <v>1.3</v>
      </c>
      <c r="E14" s="40">
        <f>VLOOKUP(A14,Materiales3[],5,FALSE)*D14</f>
        <v>0.39</v>
      </c>
      <c r="F14" s="42">
        <f>VLOOKUP(A14,Materiales3[],6,FALSE)</f>
        <v>0</v>
      </c>
      <c r="G14" s="42">
        <f t="shared" si="0"/>
        <v>0</v>
      </c>
    </row>
    <row r="15" spans="1:7" ht="25">
      <c r="A15" s="89">
        <v>226</v>
      </c>
      <c r="B15" s="69" t="str">
        <f>VLOOKUP(A15,Materiales3[],3,FALSE)</f>
        <v>DPS TIPO 1+2 2P Uc: 150 VAC Up: &lt; 1 kV In: 20 kA Iimp: 12,5 kA/polo Imax: 40 kA</v>
      </c>
      <c r="C15" s="40" t="str">
        <f>VLOOKUP(A15,Materiales3[],4,FALSE)</f>
        <v>UN</v>
      </c>
      <c r="D15" s="40">
        <v>1</v>
      </c>
      <c r="E15" s="40">
        <f>VLOOKUP(A15,Materiales3[],5,FALSE)*D15</f>
        <v>0.2</v>
      </c>
      <c r="F15" s="42">
        <f>VLOOKUP(A15,Materiales3[],6,FALSE)</f>
        <v>0</v>
      </c>
      <c r="G15" s="42">
        <f t="shared" si="0"/>
        <v>0</v>
      </c>
    </row>
    <row r="16" spans="1:7" ht="14.5">
      <c r="A16" s="89">
        <v>25</v>
      </c>
      <c r="B16" s="69" t="str">
        <f>VLOOKUP(A16,Materiales3[],3,FALSE)</f>
        <v>Tubo termoencogible. Distintos calibres, distintos colores</v>
      </c>
      <c r="C16" s="40" t="str">
        <f>VLOOKUP(A16,Materiales3[],4,FALSE)</f>
        <v>UN</v>
      </c>
      <c r="D16" s="40">
        <v>30</v>
      </c>
      <c r="E16" s="40">
        <f>VLOOKUP(A16,Materiales3[],5,FALSE)*D16</f>
        <v>0.24</v>
      </c>
      <c r="F16" s="42">
        <f>VLOOKUP(A16,Materiales3[],6,FALSE)</f>
        <v>0</v>
      </c>
      <c r="G16" s="42">
        <f t="shared" si="0"/>
        <v>0</v>
      </c>
    </row>
    <row r="17" spans="1:7" ht="14.5">
      <c r="A17" s="89">
        <v>242</v>
      </c>
      <c r="B17" s="69" t="str">
        <f>VLOOKUP(A17,Materiales3[],3,FALSE)</f>
        <v xml:space="preserve">Interruptor termomagnético 20A 2P 120/240V VAC 10 Ka </v>
      </c>
      <c r="C17" s="40" t="str">
        <f>VLOOKUP(A17,Materiales3[],4,FALSE)</f>
        <v>UN</v>
      </c>
      <c r="D17" s="40">
        <v>6</v>
      </c>
      <c r="E17" s="40">
        <f>VLOOKUP(A17,Materiales3[],5,FALSE)*D17</f>
        <v>1.2000000000000002</v>
      </c>
      <c r="F17" s="42">
        <f>VLOOKUP(A17,Materiales3[],6,FALSE)</f>
        <v>0</v>
      </c>
      <c r="G17" s="42">
        <f t="shared" si="0"/>
        <v>0</v>
      </c>
    </row>
    <row r="18" spans="1:7" ht="14.5">
      <c r="A18" s="89">
        <v>235</v>
      </c>
      <c r="B18" s="69" t="str">
        <f>VLOOKUP(A18,Materiales3[],3,FALSE)</f>
        <v xml:space="preserve">Interruptor termomagnético 25A 2P 120/240V VAC 10 Ka </v>
      </c>
      <c r="C18" s="40" t="str">
        <f>VLOOKUP(A18,Materiales3[],4,FALSE)</f>
        <v>UN</v>
      </c>
      <c r="D18" s="40">
        <v>1</v>
      </c>
      <c r="E18" s="40">
        <f>VLOOKUP(A18,Materiales3[],5,FALSE)*D18</f>
        <v>0.2</v>
      </c>
      <c r="F18" s="42">
        <f>VLOOKUP(A18,Materiales3[],6,FALSE)</f>
        <v>0</v>
      </c>
      <c r="G18" s="42">
        <f t="shared" si="0"/>
        <v>0</v>
      </c>
    </row>
    <row r="19" spans="1:7" ht="14.5">
      <c r="A19" s="89">
        <v>246</v>
      </c>
      <c r="B19" s="69" t="str">
        <f>VLOOKUP(A19,Materiales3[],3,FALSE)</f>
        <v>Cable Cu THHN 8 AWG</v>
      </c>
      <c r="C19" s="40" t="str">
        <f>VLOOKUP(A19,Materiales3[],4,FALSE)</f>
        <v>ML</v>
      </c>
      <c r="D19" s="40">
        <f>3*0.5*1.05</f>
        <v>1.5750000000000002</v>
      </c>
      <c r="E19" s="40">
        <f>VLOOKUP(A19,Materiales3[],5,FALSE)*D19</f>
        <v>0.15120000000000003</v>
      </c>
      <c r="F19" s="42">
        <f>VLOOKUP(A19,Materiales3[],6,FALSE)</f>
        <v>0</v>
      </c>
      <c r="G19" s="42">
        <f t="shared" ref="G19:G20" si="1">D19*F19</f>
        <v>0</v>
      </c>
    </row>
    <row r="20" spans="1:7" ht="14.5">
      <c r="A20" s="4">
        <v>246</v>
      </c>
      <c r="B20" s="69" t="str">
        <f>VLOOKUP(A20,Materiales3[],3,FALSE)</f>
        <v>Cable Cu THHN 8 AWG</v>
      </c>
      <c r="C20" s="40" t="str">
        <f>VLOOKUP(A20,Materiales3[],4,FALSE)</f>
        <v>ML</v>
      </c>
      <c r="D20" s="40">
        <f>(3)*1.05+3*1.05</f>
        <v>6.3000000000000007</v>
      </c>
      <c r="E20" s="40">
        <f>VLOOKUP(A20,Materiales3[],5,FALSE)*D20</f>
        <v>0.60480000000000012</v>
      </c>
      <c r="F20" s="42">
        <f>VLOOKUP(A20,Materiales3[],6,FALSE)</f>
        <v>0</v>
      </c>
      <c r="G20" s="42">
        <f t="shared" si="1"/>
        <v>0</v>
      </c>
    </row>
    <row r="21" spans="1:7" ht="13">
      <c r="D21" s="47"/>
      <c r="E21" s="47"/>
      <c r="F21" s="48" t="s">
        <v>654</v>
      </c>
      <c r="G21" s="49">
        <f>SUM(G8:G20)</f>
        <v>0</v>
      </c>
    </row>
    <row r="22" spans="1:7">
      <c r="G22" s="73"/>
    </row>
    <row r="23" spans="1:7" ht="13">
      <c r="B23" s="50" t="s">
        <v>655</v>
      </c>
      <c r="G23" s="74"/>
    </row>
    <row r="24" spans="1:7" ht="13">
      <c r="A24" s="88" t="s">
        <v>138</v>
      </c>
      <c r="B24" s="37" t="s">
        <v>19</v>
      </c>
      <c r="C24" s="38" t="s">
        <v>665</v>
      </c>
      <c r="D24" s="38" t="s">
        <v>656</v>
      </c>
      <c r="E24" s="38"/>
      <c r="F24" s="38" t="s">
        <v>21</v>
      </c>
      <c r="G24" s="38" t="s">
        <v>286</v>
      </c>
    </row>
    <row r="25" spans="1:7" ht="14.5">
      <c r="A25" s="89">
        <v>1</v>
      </c>
      <c r="B25" s="43" t="str">
        <f>VLOOKUP(A25,Equipoyherramienta[],2,FALSE)</f>
        <v>Herramienta menor</v>
      </c>
      <c r="C25" s="44" t="str">
        <f>VLOOKUP(A25,Equipoyherramienta[],3,FALSE)</f>
        <v>UN</v>
      </c>
      <c r="D25" s="51">
        <f>VLOOKUP(A25,Equipoyherramienta[],4,FALSE)</f>
        <v>0</v>
      </c>
      <c r="E25" s="51"/>
      <c r="F25" s="71">
        <f>+RENDIMIENTOS!C34</f>
        <v>1</v>
      </c>
      <c r="G25" s="51">
        <f>ROUND(D25/F25,0)</f>
        <v>0</v>
      </c>
    </row>
    <row r="26" spans="1:7">
      <c r="B26" s="43"/>
      <c r="C26" s="44"/>
      <c r="D26" s="46"/>
      <c r="E26" s="46"/>
      <c r="F26" s="52"/>
      <c r="G26" s="53"/>
    </row>
    <row r="27" spans="1:7">
      <c r="B27" s="43"/>
      <c r="C27" s="44"/>
      <c r="D27" s="46"/>
      <c r="E27" s="46"/>
      <c r="F27" s="52"/>
      <c r="G27" s="53"/>
    </row>
    <row r="28" spans="1:7" ht="13">
      <c r="D28" s="47"/>
      <c r="E28" s="47"/>
      <c r="F28" s="48" t="s">
        <v>654</v>
      </c>
      <c r="G28" s="49">
        <f>SUM(G25:G27)</f>
        <v>0</v>
      </c>
    </row>
    <row r="29" spans="1:7" ht="13">
      <c r="D29" s="47"/>
      <c r="E29" s="47"/>
      <c r="F29" s="47"/>
      <c r="G29" s="54"/>
    </row>
    <row r="30" spans="1:7" ht="13">
      <c r="B30" s="36" t="s">
        <v>657</v>
      </c>
      <c r="G30" s="55"/>
    </row>
    <row r="31" spans="1:7" ht="13">
      <c r="A31" s="88" t="s">
        <v>138</v>
      </c>
      <c r="B31" s="37" t="s">
        <v>19</v>
      </c>
      <c r="C31" s="38" t="s">
        <v>284</v>
      </c>
      <c r="D31" s="38" t="s">
        <v>410</v>
      </c>
      <c r="E31" s="38"/>
      <c r="F31" s="38" t="s">
        <v>666</v>
      </c>
      <c r="G31" s="56" t="s">
        <v>286</v>
      </c>
    </row>
    <row r="32" spans="1:7" ht="50">
      <c r="A32" s="89">
        <v>6</v>
      </c>
      <c r="B32" s="57" t="str">
        <f>VLOOKUP(A32,Transp.[],2,FALSE)</f>
        <v>Carga terrestre desde Barranquilla hasta Usuario, incluye cargues, descargues, cruces de río, transporte semoviente, transporte en vehículo de carga pesada y cualquier otro tranposte.</v>
      </c>
      <c r="C32" s="40" t="s">
        <v>667</v>
      </c>
      <c r="D32" s="41">
        <f>+SUM(E8:E20)</f>
        <v>21.875999999999998</v>
      </c>
      <c r="E32" s="41"/>
      <c r="F32" s="59">
        <f>VLOOKUP(A32,Transp.[],6,FALSE)</f>
        <v>0</v>
      </c>
      <c r="G32" s="59">
        <f>D32*F32</f>
        <v>0</v>
      </c>
    </row>
    <row r="33" spans="1:7" ht="13.15" customHeight="1">
      <c r="A33" s="89"/>
      <c r="B33" s="57"/>
      <c r="C33" s="40"/>
      <c r="D33" s="41"/>
      <c r="E33" s="41"/>
      <c r="F33" s="59"/>
      <c r="G33" s="59"/>
    </row>
    <row r="34" spans="1:7" ht="13.15" customHeight="1">
      <c r="A34" s="89"/>
      <c r="B34" s="57"/>
      <c r="C34" s="40"/>
      <c r="D34" s="41"/>
      <c r="E34" s="41"/>
      <c r="F34" s="59"/>
      <c r="G34" s="59"/>
    </row>
    <row r="35" spans="1:7" ht="13">
      <c r="D35" s="47"/>
      <c r="E35" s="47"/>
      <c r="F35" s="61" t="s">
        <v>654</v>
      </c>
      <c r="G35" s="49">
        <f>SUM(G32:G34)</f>
        <v>0</v>
      </c>
    </row>
    <row r="37" spans="1:7" ht="13">
      <c r="B37" s="36" t="s">
        <v>661</v>
      </c>
      <c r="D37" s="62"/>
      <c r="E37" s="62"/>
      <c r="F37" s="63"/>
      <c r="G37" s="55"/>
    </row>
    <row r="38" spans="1:7" s="47" customFormat="1" ht="13">
      <c r="A38" s="88" t="s">
        <v>138</v>
      </c>
      <c r="B38" s="38" t="s">
        <v>19</v>
      </c>
      <c r="C38" s="38" t="s">
        <v>662</v>
      </c>
      <c r="D38" s="38" t="s">
        <v>663</v>
      </c>
      <c r="E38" s="38"/>
      <c r="F38" s="38" t="s">
        <v>21</v>
      </c>
      <c r="G38" s="56" t="s">
        <v>286</v>
      </c>
    </row>
    <row r="39" spans="1:7" ht="14.5">
      <c r="A39" s="89">
        <v>1</v>
      </c>
      <c r="B39" s="64" t="str">
        <f>VLOOKUP(A39,ManoObra[],2,FALSE)</f>
        <v>Electricista</v>
      </c>
      <c r="C39" s="65">
        <f>VLOOKUP(A39,ManoObra[],8,FALSE)</f>
        <v>0</v>
      </c>
      <c r="D39" s="52">
        <f>+FP!E27</f>
        <v>0</v>
      </c>
      <c r="E39" s="52"/>
      <c r="F39" s="71">
        <f>F25</f>
        <v>1</v>
      </c>
      <c r="G39" s="51">
        <f>ROUND(C39*D39/F39,0)</f>
        <v>0</v>
      </c>
    </row>
    <row r="40" spans="1:7" ht="14.5">
      <c r="A40" s="89">
        <v>2</v>
      </c>
      <c r="B40" s="64" t="str">
        <f>VLOOKUP(A40,ManoObra[],2,FALSE)</f>
        <v>Ayudante</v>
      </c>
      <c r="C40" s="65">
        <f>VLOOKUP(A40,ManoObra[],8,FALSE)</f>
        <v>0</v>
      </c>
      <c r="D40" s="52">
        <f>+FP!E27</f>
        <v>0</v>
      </c>
      <c r="E40" s="52"/>
      <c r="F40" s="71">
        <f>F25</f>
        <v>1</v>
      </c>
      <c r="G40" s="51">
        <f>ROUND(C40*D40/F40,0)</f>
        <v>0</v>
      </c>
    </row>
    <row r="41" spans="1:7" ht="14.5">
      <c r="A41" s="89"/>
      <c r="B41" s="70"/>
      <c r="C41" s="65"/>
      <c r="D41" s="52"/>
      <c r="E41" s="52"/>
      <c r="F41" s="45"/>
      <c r="G41" s="51"/>
    </row>
    <row r="42" spans="1:7" ht="13">
      <c r="D42" s="47"/>
      <c r="E42" s="47"/>
      <c r="F42" s="61" t="s">
        <v>654</v>
      </c>
      <c r="G42" s="75">
        <f>SUM(G39:G41)</f>
        <v>0</v>
      </c>
    </row>
    <row r="43" spans="1:7" ht="13">
      <c r="D43" s="47"/>
      <c r="E43" s="47"/>
      <c r="G43" s="55"/>
    </row>
    <row r="44" spans="1:7" ht="12.75" customHeight="1">
      <c r="B44" s="47"/>
      <c r="D44" s="652" t="s">
        <v>664</v>
      </c>
      <c r="E44" s="654"/>
      <c r="F44" s="653"/>
      <c r="G44" s="66">
        <f>G21+G28+G35+G42</f>
        <v>0</v>
      </c>
    </row>
  </sheetData>
  <mergeCells count="3">
    <mergeCell ref="B1:G1"/>
    <mergeCell ref="B4:E4"/>
    <mergeCell ref="D44:F4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0CBE-211A-4EDE-8F0A-DDEFA089CA52}">
  <sheetPr codeName="Hoja37">
    <tabColor theme="4" tint="0.59999389629810485"/>
    <pageSetUpPr fitToPage="1"/>
  </sheetPr>
  <dimension ref="A1:G44"/>
  <sheetViews>
    <sheetView showGridLines="0" view="pageBreakPreview" zoomScale="80" zoomScaleNormal="120" zoomScaleSheetLayoutView="80" workbookViewId="0">
      <selection activeCell="A4" sqref="A4:A4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KW'!A16</f>
        <v>3.1.11</v>
      </c>
      <c r="D3" s="31"/>
      <c r="E3" s="31"/>
      <c r="F3" s="31"/>
      <c r="G3" s="32" t="s">
        <v>652</v>
      </c>
    </row>
    <row r="4" spans="1:7" ht="61.15" customHeight="1">
      <c r="B4" s="649" t="str">
        <f>+'PRES MR 5 KW'!B16</f>
        <v>Instalaciones Internas caseta de equipos incluyen 2 salidas de alumbrado y 2 tomacorrientes, dos luminaria hermetica tubular IP66, Se considera implementación de hasta 20 metros de tubería EMT de 1/2" y hasta 60 mts de cable de cobre aislado THHN No. 12 AWG</v>
      </c>
      <c r="C4" s="655"/>
      <c r="D4" s="655"/>
      <c r="E4" s="656"/>
      <c r="G4" s="33" t="str">
        <f>+'PRES MR 5 KW'!C16</f>
        <v>GB</v>
      </c>
    </row>
    <row r="5" spans="1:7" ht="13">
      <c r="B5" s="34"/>
      <c r="G5" s="35"/>
    </row>
    <row r="6" spans="1:7" ht="13">
      <c r="B6" s="50" t="s">
        <v>653</v>
      </c>
    </row>
    <row r="7" spans="1:7" ht="13">
      <c r="A7" s="70" t="s">
        <v>138</v>
      </c>
      <c r="B7" s="38" t="s">
        <v>19</v>
      </c>
      <c r="C7" s="38" t="s">
        <v>284</v>
      </c>
      <c r="D7" s="38" t="s">
        <v>48</v>
      </c>
      <c r="E7" s="38" t="s">
        <v>410</v>
      </c>
      <c r="F7" s="38" t="s">
        <v>285</v>
      </c>
      <c r="G7" s="38" t="s">
        <v>286</v>
      </c>
    </row>
    <row r="8" spans="1:7" ht="14.5">
      <c r="A8" s="105">
        <v>120</v>
      </c>
      <c r="B8" s="69" t="str">
        <f>VLOOKUP(A8,Materiales3[],3,FALSE)</f>
        <v>Caja PVC 4" x 4" con tapa lisa</v>
      </c>
      <c r="C8" s="40" t="str">
        <f>VLOOKUP(A8,Materiales3[],4,FALSE)</f>
        <v>UN</v>
      </c>
      <c r="D8" s="106">
        <v>2</v>
      </c>
      <c r="E8" s="40">
        <f>VLOOKUP(A8,Materiales3[],5,FALSE)*D8</f>
        <v>0.13600000000000001</v>
      </c>
      <c r="F8" s="42">
        <f>VLOOKUP(A8,Materiales3[],6,FALSE)</f>
        <v>0</v>
      </c>
      <c r="G8" s="42">
        <f t="shared" ref="G8:G19" si="0">D8*F8</f>
        <v>0</v>
      </c>
    </row>
    <row r="9" spans="1:7" ht="14.5">
      <c r="A9" s="105">
        <v>336</v>
      </c>
      <c r="B9" s="69" t="str">
        <f>VLOOKUP(A9,Materiales3[],3,FALSE)</f>
        <v>Lampara Hermetica Led 3200lm 2x18w Ip65</v>
      </c>
      <c r="C9" s="40" t="str">
        <f>VLOOKUP(A9,Materiales3[],4,FALSE)</f>
        <v>UN</v>
      </c>
      <c r="D9" s="106">
        <v>2</v>
      </c>
      <c r="E9" s="40">
        <f>VLOOKUP(A9,Materiales3[],5,FALSE)*D9</f>
        <v>5.6</v>
      </c>
      <c r="F9" s="42">
        <f>VLOOKUP(A9,Materiales3[],6,FALSE)</f>
        <v>0</v>
      </c>
      <c r="G9" s="42">
        <f t="shared" si="0"/>
        <v>0</v>
      </c>
    </row>
    <row r="10" spans="1:7" ht="14.5">
      <c r="A10" s="105">
        <v>122</v>
      </c>
      <c r="B10" s="69" t="str">
        <f>VLOOKUP(A10,Materiales3[],3,FALSE)</f>
        <v>Interruptor sencillo</v>
      </c>
      <c r="C10" s="40" t="str">
        <f>VLOOKUP(A10,Materiales3[],4,FALSE)</f>
        <v>UN</v>
      </c>
      <c r="D10" s="106">
        <v>2</v>
      </c>
      <c r="E10" s="40">
        <f>VLOOKUP(A10,Materiales3[],5,FALSE)*D10</f>
        <v>0.06</v>
      </c>
      <c r="F10" s="42">
        <f>VLOOKUP(A10,Materiales3[],6,FALSE)</f>
        <v>0</v>
      </c>
      <c r="G10" s="42">
        <f t="shared" si="0"/>
        <v>0</v>
      </c>
    </row>
    <row r="11" spans="1:7" ht="14.5">
      <c r="A11" s="105">
        <v>123</v>
      </c>
      <c r="B11" s="69" t="str">
        <f>VLOOKUP(A11,Materiales3[],3,FALSE)</f>
        <v>Conector tipo resorte No 12 AWG</v>
      </c>
      <c r="C11" s="40" t="str">
        <f>VLOOKUP(A11,Materiales3[],4,FALSE)</f>
        <v>UN</v>
      </c>
      <c r="D11" s="106">
        <v>8</v>
      </c>
      <c r="E11" s="40">
        <f>VLOOKUP(A11,Materiales3[],5,FALSE)*D11</f>
        <v>0.08</v>
      </c>
      <c r="F11" s="42">
        <f>VLOOKUP(A11,Materiales3[],6,FALSE)</f>
        <v>0</v>
      </c>
      <c r="G11" s="42">
        <f t="shared" si="0"/>
        <v>0</v>
      </c>
    </row>
    <row r="12" spans="1:7" ht="14.5">
      <c r="A12" s="105">
        <v>124</v>
      </c>
      <c r="B12" s="69" t="str">
        <f>VLOOKUP(A12,Materiales3[],3,FALSE)</f>
        <v>Cable Cu THHN 12 AWG</v>
      </c>
      <c r="C12" s="40" t="str">
        <f>VLOOKUP(A12,Materiales3[],4,FALSE)</f>
        <v>ML</v>
      </c>
      <c r="D12" s="106">
        <v>60</v>
      </c>
      <c r="E12" s="40">
        <f>VLOOKUP(A12,Materiales3[],5,FALSE)*D12</f>
        <v>2.04</v>
      </c>
      <c r="F12" s="42">
        <f>VLOOKUP(A12,Materiales3[],6,FALSE)</f>
        <v>0</v>
      </c>
      <c r="G12" s="42">
        <f t="shared" si="0"/>
        <v>0</v>
      </c>
    </row>
    <row r="13" spans="1:7" ht="14.5">
      <c r="A13" s="105">
        <v>125</v>
      </c>
      <c r="B13" s="69" t="str">
        <f>VLOOKUP(A13,Materiales3[],3,FALSE)</f>
        <v>Tornillo metálico galvanizado 1/4" x 1" con arandela</v>
      </c>
      <c r="C13" s="40" t="str">
        <f>VLOOKUP(A13,Materiales3[],4,FALSE)</f>
        <v>UN</v>
      </c>
      <c r="D13" s="106">
        <v>40</v>
      </c>
      <c r="E13" s="40">
        <f>VLOOKUP(A13,Materiales3[],5,FALSE)*D13</f>
        <v>0.04</v>
      </c>
      <c r="F13" s="42">
        <f>VLOOKUP(A13,Materiales3[],6,FALSE)</f>
        <v>0</v>
      </c>
      <c r="G13" s="42">
        <f t="shared" si="0"/>
        <v>0</v>
      </c>
    </row>
    <row r="14" spans="1:7" ht="14.5">
      <c r="A14" s="105">
        <v>81</v>
      </c>
      <c r="B14" s="69" t="str">
        <f>VLOOKUP(A14,Materiales3[],3,FALSE)</f>
        <v>Abrazadera metálica galvanizada doble ala 3/4"</v>
      </c>
      <c r="C14" s="40" t="str">
        <f>VLOOKUP(A14,Materiales3[],4,FALSE)</f>
        <v>UN</v>
      </c>
      <c r="D14" s="106">
        <v>20</v>
      </c>
      <c r="E14" s="40">
        <f>VLOOKUP(A14,Materiales3[],5,FALSE)*D14</f>
        <v>1</v>
      </c>
      <c r="F14" s="42">
        <f>VLOOKUP(A14,Materiales3[],6,FALSE)</f>
        <v>0</v>
      </c>
      <c r="G14" s="42">
        <f t="shared" si="0"/>
        <v>0</v>
      </c>
    </row>
    <row r="15" spans="1:7" ht="14.5">
      <c r="A15" s="105">
        <v>66</v>
      </c>
      <c r="B15" s="69" t="str">
        <f>VLOOKUP(A15,Materiales3[],3,FALSE)</f>
        <v>Caja PVC 2" x 4"</v>
      </c>
      <c r="C15" s="40" t="str">
        <f>VLOOKUP(A15,Materiales3[],4,FALSE)</f>
        <v>UN</v>
      </c>
      <c r="D15" s="106">
        <v>4</v>
      </c>
      <c r="E15" s="40">
        <f>VLOOKUP(A15,Materiales3[],5,FALSE)*D15</f>
        <v>0.04</v>
      </c>
      <c r="F15" s="42">
        <f>VLOOKUP(A15,Materiales3[],6,FALSE)</f>
        <v>0</v>
      </c>
      <c r="G15" s="42">
        <f t="shared" si="0"/>
        <v>0</v>
      </c>
    </row>
    <row r="16" spans="1:7" ht="14.5">
      <c r="A16" s="105">
        <v>65</v>
      </c>
      <c r="B16" s="69" t="str">
        <f>VLOOKUP(A16,Materiales3[],3,FALSE)</f>
        <v>Tomacorriente doble con polo a tierra</v>
      </c>
      <c r="C16" s="40" t="str">
        <f>VLOOKUP(A16,Materiales3[],4,FALSE)</f>
        <v>UN</v>
      </c>
      <c r="D16" s="106">
        <v>2</v>
      </c>
      <c r="E16" s="40">
        <f>VLOOKUP(A16,Materiales3[],5,FALSE)*D16</f>
        <v>0.02</v>
      </c>
      <c r="F16" s="42">
        <f>VLOOKUP(A16,Materiales3[],6,FALSE)</f>
        <v>0</v>
      </c>
      <c r="G16" s="42">
        <f t="shared" si="0"/>
        <v>0</v>
      </c>
    </row>
    <row r="17" spans="1:7" ht="14.5">
      <c r="A17" s="105">
        <v>311</v>
      </c>
      <c r="B17" s="69" t="str">
        <f>VLOOKUP(A17,Materiales3[],3,FALSE)</f>
        <v>Tubo EMT 1/2 x 3m</v>
      </c>
      <c r="C17" s="40" t="str">
        <f>VLOOKUP(A17,Materiales3[],4,FALSE)</f>
        <v>UN</v>
      </c>
      <c r="D17" s="106">
        <v>7</v>
      </c>
      <c r="E17" s="40">
        <f>VLOOKUP(A17,Materiales3[],5,FALSE)*D17</f>
        <v>7</v>
      </c>
      <c r="F17" s="42">
        <f>VLOOKUP(A17,Materiales3[],6,FALSE)</f>
        <v>0</v>
      </c>
      <c r="G17" s="42">
        <f t="shared" si="0"/>
        <v>0</v>
      </c>
    </row>
    <row r="18" spans="1:7" ht="14.5">
      <c r="A18" s="105">
        <v>321</v>
      </c>
      <c r="B18" s="69" t="str">
        <f>VLOOKUP(A18,Materiales3[],3,FALSE)</f>
        <v>Curva EMT 1/2"</v>
      </c>
      <c r="C18" s="40" t="str">
        <f>VLOOKUP(A18,Materiales3[],4,FALSE)</f>
        <v>UN</v>
      </c>
      <c r="D18" s="106">
        <v>2</v>
      </c>
      <c r="E18" s="40">
        <f>VLOOKUP(A18,Materiales3[],5,FALSE)*D18</f>
        <v>0.6</v>
      </c>
      <c r="F18" s="42">
        <f>VLOOKUP(A18,Materiales3[],6,FALSE)</f>
        <v>0</v>
      </c>
      <c r="G18" s="42">
        <f t="shared" si="0"/>
        <v>0</v>
      </c>
    </row>
    <row r="19" spans="1:7" ht="14.5">
      <c r="A19" s="105">
        <v>319</v>
      </c>
      <c r="B19" s="69" t="str">
        <f>VLOOKUP(A19,Materiales3[],3,FALSE)</f>
        <v>Union EMT 1/2"</v>
      </c>
      <c r="C19" s="40" t="str">
        <f>VLOOKUP(A19,Materiales3[],4,FALSE)</f>
        <v>UN</v>
      </c>
      <c r="D19" s="106">
        <v>8</v>
      </c>
      <c r="E19" s="40">
        <f>VLOOKUP(A19,Materiales3[],5,FALSE)*D19</f>
        <v>1.6</v>
      </c>
      <c r="F19" s="42">
        <f>VLOOKUP(A19,Materiales3[],6,FALSE)</f>
        <v>0</v>
      </c>
      <c r="G19" s="42">
        <f t="shared" si="0"/>
        <v>0</v>
      </c>
    </row>
    <row r="20" spans="1:7" ht="14.5">
      <c r="A20" s="105">
        <v>320</v>
      </c>
      <c r="B20" s="69" t="str">
        <f>VLOOKUP(A20,Materiales3[],3,FALSE)</f>
        <v>Terminal EMT 1/2"</v>
      </c>
      <c r="C20" s="40" t="str">
        <f>VLOOKUP(A20,Materiales3[],4,FALSE)</f>
        <v>UN</v>
      </c>
      <c r="D20" s="106">
        <v>12</v>
      </c>
      <c r="E20" s="40">
        <f>VLOOKUP(A20,Materiales3[],5,FALSE)*D20</f>
        <v>2.4000000000000004</v>
      </c>
      <c r="F20" s="42">
        <f>VLOOKUP(A20,Materiales3[],6,FALSE)</f>
        <v>0</v>
      </c>
      <c r="G20" s="42">
        <f t="shared" ref="G20" si="1">D20*F20</f>
        <v>0</v>
      </c>
    </row>
    <row r="21" spans="1:7" ht="13">
      <c r="D21" s="47"/>
      <c r="E21" s="47"/>
      <c r="F21" s="61" t="s">
        <v>654</v>
      </c>
      <c r="G21" s="75">
        <f>SUM(G8:G20)</f>
        <v>0</v>
      </c>
    </row>
    <row r="22" spans="1:7">
      <c r="G22" s="73"/>
    </row>
    <row r="23" spans="1:7" ht="13">
      <c r="B23" s="50" t="s">
        <v>655</v>
      </c>
      <c r="G23" s="74"/>
    </row>
    <row r="24" spans="1:7" ht="13">
      <c r="A24" s="88" t="s">
        <v>138</v>
      </c>
      <c r="B24" s="37" t="s">
        <v>19</v>
      </c>
      <c r="C24" s="38" t="s">
        <v>665</v>
      </c>
      <c r="D24" s="38" t="s">
        <v>656</v>
      </c>
      <c r="E24" s="38"/>
      <c r="F24" s="38" t="s">
        <v>21</v>
      </c>
      <c r="G24" s="38" t="s">
        <v>286</v>
      </c>
    </row>
    <row r="25" spans="1:7" ht="14.5">
      <c r="A25" s="89">
        <v>1</v>
      </c>
      <c r="B25" s="43" t="str">
        <f>VLOOKUP(A25,Equipoyherramienta[],2,FALSE)</f>
        <v>Herramienta menor</v>
      </c>
      <c r="C25" s="44" t="str">
        <f>VLOOKUP(A25,Equipoyherramienta[],3,FALSE)</f>
        <v>UN</v>
      </c>
      <c r="D25" s="51">
        <f>VLOOKUP(A25,Equipoyherramienta[],4,FALSE)</f>
        <v>0</v>
      </c>
      <c r="E25" s="51"/>
      <c r="F25" s="71">
        <f>+RENDIMIENTOS!C40</f>
        <v>3</v>
      </c>
      <c r="G25" s="51">
        <f>ROUND(D25/F25,0)</f>
        <v>0</v>
      </c>
    </row>
    <row r="26" spans="1:7">
      <c r="B26" s="43"/>
      <c r="C26" s="44"/>
      <c r="D26" s="46"/>
      <c r="E26" s="46"/>
      <c r="F26" s="52"/>
      <c r="G26" s="53"/>
    </row>
    <row r="27" spans="1:7">
      <c r="B27" s="43"/>
      <c r="C27" s="44"/>
      <c r="D27" s="46"/>
      <c r="E27" s="46"/>
      <c r="F27" s="52"/>
      <c r="G27" s="53"/>
    </row>
    <row r="28" spans="1:7" ht="13">
      <c r="D28" s="47"/>
      <c r="E28" s="47"/>
      <c r="F28" s="48" t="s">
        <v>654</v>
      </c>
      <c r="G28" s="49">
        <f>SUM(G25:G27)</f>
        <v>0</v>
      </c>
    </row>
    <row r="29" spans="1:7" ht="13">
      <c r="D29" s="47"/>
      <c r="E29" s="47"/>
      <c r="F29" s="47"/>
      <c r="G29" s="54"/>
    </row>
    <row r="30" spans="1:7" ht="13">
      <c r="B30" s="36" t="s">
        <v>657</v>
      </c>
      <c r="G30" s="55"/>
    </row>
    <row r="31" spans="1:7" ht="13">
      <c r="A31" s="88" t="s">
        <v>138</v>
      </c>
      <c r="B31" s="37" t="s">
        <v>19</v>
      </c>
      <c r="C31" s="38" t="s">
        <v>284</v>
      </c>
      <c r="D31" s="38" t="s">
        <v>410</v>
      </c>
      <c r="E31" s="38"/>
      <c r="F31" s="38" t="s">
        <v>666</v>
      </c>
      <c r="G31" s="56" t="s">
        <v>286</v>
      </c>
    </row>
    <row r="32" spans="1:7" ht="26.5" customHeight="1">
      <c r="A32" s="89">
        <v>6</v>
      </c>
      <c r="B32" s="57" t="str">
        <f>VLOOKUP(A32,Transp.[],2,FALSE)</f>
        <v>Carga terrestre desde Barranquilla hasta Usuario, incluye cargues, descargues, cruces de río, transporte semoviente, transporte en vehículo de carga pesada y cualquier otro tranposte.</v>
      </c>
      <c r="C32" s="40" t="s">
        <v>667</v>
      </c>
      <c r="D32" s="41">
        <f>SUM(E8:E20)</f>
        <v>20.616</v>
      </c>
      <c r="E32" s="41"/>
      <c r="F32" s="59">
        <f>VLOOKUP(A32,Transp.[],6,FALSE)</f>
        <v>0</v>
      </c>
      <c r="G32" s="59">
        <f>D32*F32</f>
        <v>0</v>
      </c>
    </row>
    <row r="33" spans="1:7" ht="13.15" customHeight="1">
      <c r="A33" s="89"/>
      <c r="B33" s="57"/>
      <c r="C33" s="40"/>
      <c r="D33" s="41"/>
      <c r="E33" s="41"/>
      <c r="F33" s="59"/>
      <c r="G33" s="59"/>
    </row>
    <row r="34" spans="1:7" ht="13.15" customHeight="1">
      <c r="A34" s="89"/>
      <c r="B34" s="57"/>
      <c r="C34" s="40"/>
      <c r="D34" s="41"/>
      <c r="E34" s="41"/>
      <c r="F34" s="59"/>
      <c r="G34" s="59"/>
    </row>
    <row r="35" spans="1:7" ht="13">
      <c r="D35" s="47"/>
      <c r="E35" s="47"/>
      <c r="F35" s="61" t="s">
        <v>654</v>
      </c>
      <c r="G35" s="49">
        <f>SUM(G32:G34)</f>
        <v>0</v>
      </c>
    </row>
    <row r="37" spans="1:7" ht="13">
      <c r="B37" s="36" t="s">
        <v>661</v>
      </c>
      <c r="D37" s="62"/>
      <c r="E37" s="62"/>
      <c r="F37" s="63"/>
      <c r="G37" s="55"/>
    </row>
    <row r="38" spans="1:7" s="47" customFormat="1" ht="13">
      <c r="A38" s="88" t="s">
        <v>138</v>
      </c>
      <c r="B38" s="38" t="s">
        <v>19</v>
      </c>
      <c r="C38" s="38" t="s">
        <v>662</v>
      </c>
      <c r="D38" s="38" t="s">
        <v>663</v>
      </c>
      <c r="E38" s="38"/>
      <c r="F38" s="38" t="s">
        <v>21</v>
      </c>
      <c r="G38" s="56" t="s">
        <v>286</v>
      </c>
    </row>
    <row r="39" spans="1:7" ht="14.5">
      <c r="A39" s="89">
        <v>1</v>
      </c>
      <c r="B39" s="64" t="str">
        <f>VLOOKUP(A39,ManoObra[],2,FALSE)</f>
        <v>Electricista</v>
      </c>
      <c r="C39" s="65">
        <f>VLOOKUP(A39,ManoObra[],8,FALSE)</f>
        <v>0</v>
      </c>
      <c r="D39" s="52">
        <f>+FP!E27</f>
        <v>0</v>
      </c>
      <c r="E39" s="52"/>
      <c r="F39" s="71">
        <f>F25</f>
        <v>3</v>
      </c>
      <c r="G39" s="51">
        <f>ROUND(C39*D39/F39,0)</f>
        <v>0</v>
      </c>
    </row>
    <row r="40" spans="1:7" ht="14.5">
      <c r="A40" s="89">
        <v>2</v>
      </c>
      <c r="B40" s="64" t="str">
        <f>VLOOKUP(A40,ManoObra[],2,FALSE)</f>
        <v>Ayudante</v>
      </c>
      <c r="C40" s="65">
        <f>VLOOKUP(A40,ManoObra[],8,FALSE)</f>
        <v>0</v>
      </c>
      <c r="D40" s="52">
        <f>+FP!E27</f>
        <v>0</v>
      </c>
      <c r="E40" s="52"/>
      <c r="F40" s="71">
        <f>F25</f>
        <v>3</v>
      </c>
      <c r="G40" s="51">
        <f>ROUND(C40*D40/F40,0)</f>
        <v>0</v>
      </c>
    </row>
    <row r="41" spans="1:7" ht="14.5">
      <c r="A41" s="89"/>
      <c r="B41" s="70"/>
      <c r="C41" s="65"/>
      <c r="D41" s="52"/>
      <c r="E41" s="52"/>
      <c r="F41" s="45"/>
      <c r="G41" s="51"/>
    </row>
    <row r="42" spans="1:7" ht="13">
      <c r="D42" s="47"/>
      <c r="E42" s="47"/>
      <c r="F42" s="61" t="s">
        <v>654</v>
      </c>
      <c r="G42" s="75">
        <f>SUM(G39:G41)</f>
        <v>0</v>
      </c>
    </row>
    <row r="43" spans="1:7" ht="13">
      <c r="D43" s="47"/>
      <c r="E43" s="47"/>
      <c r="G43" s="55"/>
    </row>
    <row r="44" spans="1:7" ht="12.75" customHeight="1">
      <c r="B44" s="47"/>
      <c r="D44" s="652" t="s">
        <v>664</v>
      </c>
      <c r="E44" s="654"/>
      <c r="F44" s="653"/>
      <c r="G44" s="66">
        <f>G21+G28+G35+G42</f>
        <v>0</v>
      </c>
    </row>
  </sheetData>
  <mergeCells count="3">
    <mergeCell ref="B1:G1"/>
    <mergeCell ref="B4:E4"/>
    <mergeCell ref="D44:F4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1936-DD89-44F5-9793-07DA681FC6CF}">
  <sheetPr codeName="Hoja38">
    <tabColor theme="4" tint="0.59999389629810485"/>
    <pageSetUpPr fitToPage="1"/>
  </sheetPr>
  <dimension ref="A1:G34"/>
  <sheetViews>
    <sheetView showGridLines="0" view="pageBreakPreview" zoomScale="80" zoomScaleNormal="120" zoomScaleSheetLayoutView="80" workbookViewId="0">
      <selection activeCell="A34" sqref="A4:A3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KW'!A17</f>
        <v>3.1.12</v>
      </c>
      <c r="D3" s="31"/>
      <c r="E3" s="31"/>
      <c r="F3" s="31"/>
      <c r="G3" s="32" t="s">
        <v>652</v>
      </c>
    </row>
    <row r="4" spans="1:7" ht="43.15" customHeight="1">
      <c r="B4" s="649" t="str">
        <f>+'PRES MR 5 KW'!B17</f>
        <v>Suministro, transporte e instalacion de extintor de CO2, DIOXIDO DE CARBONO - 10 LBS. Incluye soporte</v>
      </c>
      <c r="C4" s="655"/>
      <c r="D4" s="655"/>
      <c r="E4" s="656"/>
      <c r="G4" s="33" t="str">
        <f>+'PRES MR 5 KW'!C17</f>
        <v>UN</v>
      </c>
    </row>
    <row r="5" spans="1:7" ht="13">
      <c r="B5" s="34"/>
      <c r="G5" s="35"/>
    </row>
    <row r="6" spans="1:7" ht="13">
      <c r="B6" s="50" t="s">
        <v>653</v>
      </c>
    </row>
    <row r="7" spans="1:7" ht="13">
      <c r="A7" s="70" t="s">
        <v>138</v>
      </c>
      <c r="B7" s="38" t="s">
        <v>19</v>
      </c>
      <c r="C7" s="38" t="s">
        <v>284</v>
      </c>
      <c r="D7" s="38" t="s">
        <v>48</v>
      </c>
      <c r="E7" s="38" t="s">
        <v>410</v>
      </c>
      <c r="F7" s="38" t="s">
        <v>285</v>
      </c>
      <c r="G7" s="38" t="s">
        <v>286</v>
      </c>
    </row>
    <row r="8" spans="1:7" ht="14.5">
      <c r="A8" s="105">
        <v>64</v>
      </c>
      <c r="B8" s="69" t="str">
        <f>VLOOKUP(A8,Materiales3[],3,FALSE)</f>
        <v>Extintor</v>
      </c>
      <c r="C8" s="40" t="str">
        <f>VLOOKUP(A8,Materiales3[],4,FALSE)</f>
        <v>UN</v>
      </c>
      <c r="D8" s="106">
        <v>1</v>
      </c>
      <c r="E8" s="40">
        <f>VLOOKUP(A8,Materiales3[],5,FALSE)*D8</f>
        <v>5</v>
      </c>
      <c r="F8" s="42">
        <f>VLOOKUP(A8,Materiales3[],6,FALSE)</f>
        <v>0</v>
      </c>
      <c r="G8" s="42">
        <f t="shared" ref="G8" si="0">D8*F8</f>
        <v>0</v>
      </c>
    </row>
    <row r="9" spans="1:7" ht="14.5">
      <c r="A9" s="105">
        <v>413</v>
      </c>
      <c r="B9" s="69" t="str">
        <f>VLOOKUP(A9,Materiales3[],3,FALSE)</f>
        <v>Soporte extintor de CO2</v>
      </c>
      <c r="C9" s="40" t="str">
        <f>VLOOKUP(A9,Materiales3[],4,FALSE)</f>
        <v>un</v>
      </c>
      <c r="D9" s="106">
        <v>1</v>
      </c>
      <c r="E9" s="40">
        <f>VLOOKUP(A9,Materiales3[],5,FALSE)*D9</f>
        <v>0.1</v>
      </c>
      <c r="F9" s="42">
        <f>VLOOKUP(A9,Materiales3[],6,FALSE)</f>
        <v>0</v>
      </c>
      <c r="G9" s="42">
        <f t="shared" ref="G9" si="1">D9*F9</f>
        <v>0</v>
      </c>
    </row>
    <row r="10" spans="1:7" ht="14.5">
      <c r="A10" s="105"/>
      <c r="B10" s="69"/>
      <c r="C10" s="40"/>
      <c r="D10" s="106"/>
      <c r="E10" s="40"/>
      <c r="F10" s="42"/>
      <c r="G10" s="42"/>
    </row>
    <row r="11" spans="1:7" ht="13">
      <c r="D11" s="47"/>
      <c r="E11" s="47"/>
      <c r="F11" s="61" t="s">
        <v>654</v>
      </c>
      <c r="G11" s="75">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v>20</v>
      </c>
      <c r="G15" s="51">
        <f>ROUND(D15/F15,0)</f>
        <v>0</v>
      </c>
    </row>
    <row r="16" spans="1:7">
      <c r="B16" s="43"/>
      <c r="C16" s="44"/>
      <c r="D16" s="46"/>
      <c r="E16" s="46"/>
      <c r="F16" s="52"/>
      <c r="G16" s="53"/>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52.9" customHeight="1">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5.0999999999999996</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v>1</v>
      </c>
      <c r="B29" s="64" t="str">
        <f>VLOOKUP(A29,ManoObra[],2,FALSE)</f>
        <v>Electricista</v>
      </c>
      <c r="C29" s="65">
        <f>VLOOKUP(A29,ManoObra[],8,FALSE)</f>
        <v>0</v>
      </c>
      <c r="D29" s="52">
        <f>+FP!E27</f>
        <v>0</v>
      </c>
      <c r="E29" s="52"/>
      <c r="F29" s="71">
        <f>F15</f>
        <v>20</v>
      </c>
      <c r="G29" s="51">
        <f>ROUND(C29*D29/F29,0)</f>
        <v>0</v>
      </c>
    </row>
    <row r="30" spans="1:7" ht="14.5">
      <c r="A30" s="89">
        <v>2</v>
      </c>
      <c r="B30" s="64" t="str">
        <f>VLOOKUP(A30,ManoObra[],2,FALSE)</f>
        <v>Ayudante</v>
      </c>
      <c r="C30" s="65">
        <f>VLOOKUP(A30,ManoObra[],8,FALSE)</f>
        <v>0</v>
      </c>
      <c r="D30" s="52">
        <f>+FP!E27</f>
        <v>0</v>
      </c>
      <c r="E30" s="52"/>
      <c r="F30" s="71">
        <f>F15</f>
        <v>20</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9391-129C-4F33-A109-E1F516E584FE}">
  <sheetPr codeName="Hoja39">
    <tabColor theme="4" tint="0.59999389629810485"/>
    <pageSetUpPr fitToPage="1"/>
  </sheetPr>
  <dimension ref="A1:G37"/>
  <sheetViews>
    <sheetView showGridLines="0" view="pageBreakPreview" zoomScale="80" zoomScaleNormal="120" zoomScaleSheetLayoutView="80" workbookViewId="0">
      <selection activeCell="A4" sqref="A4:A39"/>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KW'!A18</f>
        <v>3.1.13</v>
      </c>
      <c r="D3" s="31"/>
      <c r="E3" s="31"/>
      <c r="F3" s="31"/>
      <c r="G3" s="32" t="s">
        <v>652</v>
      </c>
    </row>
    <row r="4" spans="1:7" ht="61.9" customHeight="1">
      <c r="B4" s="649" t="str">
        <f>+'PRES MR 5 KW'!B18</f>
        <v>Suministro, transporte e instalación de sistema puesta a tierra con 4 varillas de cobre 5/8" x 2,4m bajante en cable de cobre desnudo calibre 2/0 AWG con soldadura exotérmica. Incluye barraje de puesta a tierra principal, suelo mejorado, cableado de equipotenciaciación de equipos y estructuras, bajante y electrodos</v>
      </c>
      <c r="C4" s="655"/>
      <c r="D4" s="655"/>
      <c r="E4" s="656"/>
      <c r="G4" s="33" t="str">
        <f>+'PRES MR 5 KW'!C18</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68</v>
      </c>
      <c r="B8" s="69" t="str">
        <f>VLOOKUP(A8,Materiales3[],3,FALSE)</f>
        <v>Varilla de cobre 5/8 x 2.4 m</v>
      </c>
      <c r="C8" s="40" t="str">
        <f>VLOOKUP(A8,Materiales3[],4,FALSE)</f>
        <v>UN</v>
      </c>
      <c r="D8" s="40">
        <v>4</v>
      </c>
      <c r="E8" s="40">
        <f>VLOOKUP(A8,Materiales3[],5,FALSE)*D8</f>
        <v>12.28</v>
      </c>
      <c r="F8" s="42">
        <f>VLOOKUP(A8,Materiales3[],6,FALSE)</f>
        <v>0</v>
      </c>
      <c r="G8" s="42">
        <f>D8*F8</f>
        <v>0</v>
      </c>
    </row>
    <row r="9" spans="1:7" ht="14.5">
      <c r="A9" s="89">
        <v>72</v>
      </c>
      <c r="B9" s="69" t="str">
        <f>VLOOKUP(A9,Materiales3[],3,FALSE)</f>
        <v>Caja de inspección 30x30 cm con tapa</v>
      </c>
      <c r="C9" s="40" t="str">
        <f>VLOOKUP(A9,Materiales3[],4,FALSE)</f>
        <v>UN</v>
      </c>
      <c r="D9" s="40">
        <v>4</v>
      </c>
      <c r="E9" s="40">
        <f>VLOOKUP(A9,Materiales3[],5,FALSE)*D9</f>
        <v>16</v>
      </c>
      <c r="F9" s="42">
        <f>VLOOKUP(A9,Materiales3[],6,FALSE)</f>
        <v>0</v>
      </c>
      <c r="G9" s="42">
        <f t="shared" ref="G9:G13" si="0">D9*F9</f>
        <v>0</v>
      </c>
    </row>
    <row r="10" spans="1:7" ht="14.5">
      <c r="A10" s="89">
        <v>71</v>
      </c>
      <c r="B10" s="69" t="str">
        <f>VLOOKUP(A10,Materiales3[],3,FALSE)</f>
        <v>Terminal doble ojo #2/0 AWG</v>
      </c>
      <c r="C10" s="40" t="str">
        <f>VLOOKUP(A10,Materiales3[],4,FALSE)</f>
        <v>UN</v>
      </c>
      <c r="D10" s="40">
        <v>2</v>
      </c>
      <c r="E10" s="40">
        <f>VLOOKUP(A10,Materiales3[],5,FALSE)*D10</f>
        <v>0.02</v>
      </c>
      <c r="F10" s="42">
        <f>VLOOKUP(A10,Materiales3[],6,FALSE)</f>
        <v>0</v>
      </c>
      <c r="G10" s="42">
        <f t="shared" si="0"/>
        <v>0</v>
      </c>
    </row>
    <row r="11" spans="1:7" ht="14.5">
      <c r="A11" s="89">
        <v>69</v>
      </c>
      <c r="B11" s="69" t="str">
        <f>VLOOKUP(A11,Materiales3[],3,FALSE)</f>
        <v>Soldadura exotermina 90 gr</v>
      </c>
      <c r="C11" s="40" t="str">
        <f>VLOOKUP(A11,Materiales3[],4,FALSE)</f>
        <v>UN</v>
      </c>
      <c r="D11" s="40">
        <v>4</v>
      </c>
      <c r="E11" s="40">
        <f>VLOOKUP(A11,Materiales3[],5,FALSE)*D11</f>
        <v>0.36</v>
      </c>
      <c r="F11" s="42">
        <f>VLOOKUP(A11,Materiales3[],6,FALSE)</f>
        <v>0</v>
      </c>
      <c r="G11" s="42">
        <f t="shared" si="0"/>
        <v>0</v>
      </c>
    </row>
    <row r="12" spans="1:7" ht="14.5">
      <c r="A12" s="89">
        <v>414</v>
      </c>
      <c r="B12" s="69" t="str">
        <f>VLOOKUP(A12,Materiales3[],3,FALSE)</f>
        <v>Cable de Cobre Desnudo. 2/0 AWG</v>
      </c>
      <c r="C12" s="40" t="str">
        <f>VLOOKUP(A12,Materiales3[],4,FALSE)</f>
        <v>ML</v>
      </c>
      <c r="D12" s="40">
        <f>3*4+8*1.05</f>
        <v>20.399999999999999</v>
      </c>
      <c r="E12" s="40">
        <f>VLOOKUP(A12,Materiales3[],5,FALSE)*D12</f>
        <v>11.831999999999999</v>
      </c>
      <c r="F12" s="42">
        <f>VLOOKUP(A12,Materiales3[],6,FALSE)</f>
        <v>0</v>
      </c>
      <c r="G12" s="42">
        <f t="shared" si="0"/>
        <v>0</v>
      </c>
    </row>
    <row r="13" spans="1:7" ht="14.5">
      <c r="A13" s="89">
        <v>245</v>
      </c>
      <c r="B13" s="69" t="str">
        <f>VLOOKUP(A13,Materiales3[],3,FALSE)</f>
        <v>Bentonita mejorada</v>
      </c>
      <c r="C13" s="40" t="str">
        <f>VLOOKUP(A13,Materiales3[],4,FALSE)</f>
        <v>BULTO</v>
      </c>
      <c r="D13" s="40">
        <v>1</v>
      </c>
      <c r="E13" s="40">
        <f>VLOOKUP(A13,Materiales3[],5,FALSE)*D13</f>
        <v>50</v>
      </c>
      <c r="F13" s="42">
        <f>VLOOKUP(A13,Materiales3[],6,FALSE)</f>
        <v>0</v>
      </c>
      <c r="G13" s="42">
        <f t="shared" si="0"/>
        <v>0</v>
      </c>
    </row>
    <row r="14" spans="1:7" ht="13">
      <c r="D14" s="47"/>
      <c r="E14" s="47"/>
      <c r="F14" s="48" t="s">
        <v>654</v>
      </c>
      <c r="G14" s="49">
        <f>SUM(G8:G13)</f>
        <v>0</v>
      </c>
    </row>
    <row r="15" spans="1:7">
      <c r="G15" s="73"/>
    </row>
    <row r="16" spans="1:7" ht="13">
      <c r="B16" s="50" t="s">
        <v>655</v>
      </c>
      <c r="G16" s="74"/>
    </row>
    <row r="17" spans="1:7" ht="13">
      <c r="A17" s="88" t="s">
        <v>138</v>
      </c>
      <c r="B17" s="37" t="s">
        <v>19</v>
      </c>
      <c r="C17" s="38" t="s">
        <v>665</v>
      </c>
      <c r="D17" s="38" t="s">
        <v>656</v>
      </c>
      <c r="E17" s="38"/>
      <c r="F17" s="38" t="s">
        <v>21</v>
      </c>
      <c r="G17" s="38" t="s">
        <v>286</v>
      </c>
    </row>
    <row r="18" spans="1:7" ht="14.5">
      <c r="A18" s="89">
        <v>1</v>
      </c>
      <c r="B18" s="43" t="str">
        <f>VLOOKUP(A18,Equipoyherramienta[],2,FALSE)</f>
        <v>Herramienta menor</v>
      </c>
      <c r="C18" s="44" t="str">
        <f>VLOOKUP(A18,Equipoyherramienta[],3,FALSE)</f>
        <v>UN</v>
      </c>
      <c r="D18" s="51">
        <f>VLOOKUP(A18,Equipoyherramienta[],4,FALSE)</f>
        <v>0</v>
      </c>
      <c r="E18" s="51"/>
      <c r="F18" s="71">
        <f>+RENDIMIENTOS!C45</f>
        <v>2</v>
      </c>
      <c r="G18" s="51">
        <f>ROUND(D18/F18,0)</f>
        <v>0</v>
      </c>
    </row>
    <row r="19" spans="1:7">
      <c r="B19" s="43"/>
      <c r="C19" s="44"/>
      <c r="D19" s="46"/>
      <c r="E19" s="46"/>
      <c r="F19" s="52"/>
      <c r="G19" s="53"/>
    </row>
    <row r="20" spans="1:7">
      <c r="B20" s="43"/>
      <c r="C20" s="44"/>
      <c r="D20" s="46"/>
      <c r="E20" s="46"/>
      <c r="F20" s="52"/>
      <c r="G20" s="53"/>
    </row>
    <row r="21" spans="1:7" ht="13">
      <c r="D21" s="47"/>
      <c r="E21" s="47"/>
      <c r="F21" s="48" t="s">
        <v>654</v>
      </c>
      <c r="G21" s="49">
        <f>SUM(G18:G20)</f>
        <v>0</v>
      </c>
    </row>
    <row r="22" spans="1:7" ht="13">
      <c r="D22" s="47"/>
      <c r="E22" s="47"/>
      <c r="F22" s="47"/>
      <c r="G22" s="54"/>
    </row>
    <row r="23" spans="1:7" ht="13">
      <c r="B23" s="36" t="s">
        <v>657</v>
      </c>
      <c r="G23" s="55"/>
    </row>
    <row r="24" spans="1:7" ht="13">
      <c r="A24" s="88" t="s">
        <v>138</v>
      </c>
      <c r="B24" s="37" t="s">
        <v>19</v>
      </c>
      <c r="C24" s="38" t="s">
        <v>284</v>
      </c>
      <c r="D24" s="38" t="s">
        <v>410</v>
      </c>
      <c r="E24" s="38"/>
      <c r="F24" s="38" t="s">
        <v>666</v>
      </c>
      <c r="G24" s="56" t="s">
        <v>286</v>
      </c>
    </row>
    <row r="25" spans="1:7"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SUM(E8:E13)</f>
        <v>90.49199999999999</v>
      </c>
      <c r="E25" s="41"/>
      <c r="F25" s="59">
        <f>VLOOKUP(A25,Transp.[],6,FALSE)</f>
        <v>0</v>
      </c>
      <c r="G25" s="59">
        <f>D25*F25</f>
        <v>0</v>
      </c>
    </row>
    <row r="26" spans="1:7" ht="13.15" customHeight="1">
      <c r="A26" s="89"/>
      <c r="B26" s="57"/>
      <c r="C26" s="40"/>
      <c r="D26" s="41"/>
      <c r="E26" s="41"/>
      <c r="F26" s="59"/>
      <c r="G26" s="59"/>
    </row>
    <row r="27" spans="1:7" ht="13.15" customHeight="1">
      <c r="A27" s="89"/>
      <c r="B27" s="57"/>
      <c r="C27" s="40"/>
      <c r="D27" s="41"/>
      <c r="E27" s="41"/>
      <c r="F27" s="59"/>
      <c r="G27" s="59"/>
    </row>
    <row r="28" spans="1:7" ht="13">
      <c r="D28" s="47"/>
      <c r="E28" s="47"/>
      <c r="F28" s="61" t="s">
        <v>654</v>
      </c>
      <c r="G28" s="49">
        <f>SUM(G25:G27)</f>
        <v>0</v>
      </c>
    </row>
    <row r="30" spans="1:7" ht="13">
      <c r="B30" s="36" t="s">
        <v>661</v>
      </c>
      <c r="D30" s="62"/>
      <c r="E30" s="62"/>
      <c r="F30" s="63"/>
      <c r="G30" s="55"/>
    </row>
    <row r="31" spans="1:7" s="47" customFormat="1" ht="13">
      <c r="A31" s="88" t="s">
        <v>138</v>
      </c>
      <c r="B31" s="38" t="s">
        <v>19</v>
      </c>
      <c r="C31" s="38" t="s">
        <v>662</v>
      </c>
      <c r="D31" s="38" t="s">
        <v>663</v>
      </c>
      <c r="E31" s="38"/>
      <c r="F31" s="38" t="s">
        <v>21</v>
      </c>
      <c r="G31" s="56" t="s">
        <v>286</v>
      </c>
    </row>
    <row r="32" spans="1:7" ht="14.5">
      <c r="A32" s="89">
        <v>1</v>
      </c>
      <c r="B32" s="64" t="str">
        <f>VLOOKUP(A32,ManoObra[],2,FALSE)</f>
        <v>Electricista</v>
      </c>
      <c r="C32" s="65">
        <f>VLOOKUP(A32,ManoObra[],8,FALSE)</f>
        <v>0</v>
      </c>
      <c r="D32" s="52">
        <f>+FP!E27</f>
        <v>0</v>
      </c>
      <c r="E32" s="52"/>
      <c r="F32" s="71">
        <f>F18</f>
        <v>2</v>
      </c>
      <c r="G32" s="51">
        <f>ROUND(C32*D32/F32,0)</f>
        <v>0</v>
      </c>
    </row>
    <row r="33" spans="1:7" ht="14.5">
      <c r="A33" s="89">
        <v>2</v>
      </c>
      <c r="B33" s="64" t="str">
        <f>VLOOKUP(A33,ManoObra[],2,FALSE)</f>
        <v>Ayudante</v>
      </c>
      <c r="C33" s="65">
        <f>VLOOKUP(A33,ManoObra[],8,FALSE)</f>
        <v>0</v>
      </c>
      <c r="D33" s="52">
        <f>+FP!E27</f>
        <v>0</v>
      </c>
      <c r="E33" s="52"/>
      <c r="F33" s="71">
        <f>F18</f>
        <v>2</v>
      </c>
      <c r="G33" s="51">
        <f>ROUND(C33*D33/F33,0)</f>
        <v>0</v>
      </c>
    </row>
    <row r="34" spans="1:7" ht="14.5">
      <c r="A34" s="89"/>
      <c r="B34" s="70"/>
      <c r="C34" s="65"/>
      <c r="D34" s="52"/>
      <c r="E34" s="52"/>
      <c r="F34" s="45"/>
      <c r="G34" s="51"/>
    </row>
    <row r="35" spans="1:7" ht="13">
      <c r="D35" s="47"/>
      <c r="E35" s="47"/>
      <c r="F35" s="61" t="s">
        <v>654</v>
      </c>
      <c r="G35" s="75">
        <f>SUM(G32:G34)</f>
        <v>0</v>
      </c>
    </row>
    <row r="36" spans="1:7" ht="13">
      <c r="D36" s="47"/>
      <c r="E36" s="47"/>
      <c r="G36" s="55"/>
    </row>
    <row r="37" spans="1:7" ht="12.75" customHeight="1">
      <c r="B37" s="47"/>
      <c r="D37" s="652" t="s">
        <v>664</v>
      </c>
      <c r="E37" s="654"/>
      <c r="F37" s="653"/>
      <c r="G37" s="66">
        <f>G14+G21+G28+G35</f>
        <v>0</v>
      </c>
    </row>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5E02-1CC6-4F72-AC14-27C194BFDC87}">
  <sheetPr>
    <tabColor theme="4" tint="0.59999389629810485"/>
    <pageSetUpPr fitToPage="1"/>
  </sheetPr>
  <dimension ref="A1:G37"/>
  <sheetViews>
    <sheetView showGridLines="0" view="pageBreakPreview" zoomScale="80" zoomScaleNormal="120" zoomScaleSheetLayoutView="80" workbookViewId="0">
      <selection activeCell="A4" sqref="A4:A39"/>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KW'!A19</f>
        <v>3.1.14</v>
      </c>
      <c r="D3" s="31"/>
      <c r="E3" s="31"/>
      <c r="F3" s="31"/>
      <c r="G3" s="32" t="s">
        <v>652</v>
      </c>
    </row>
    <row r="4" spans="1:7" ht="61.9" customHeight="1">
      <c r="B4" s="649" t="str">
        <f>+'PRES MR 5 KW'!B19</f>
        <v>Suministro, transporte e instalación de Canalizacion salida red de distribucion incluye 10 m de tuberia IMC de 3 hasta poste, e incluye accesorios, capacete, cinta Bandit , y excavacion de Zanja.</v>
      </c>
      <c r="C4" s="655"/>
      <c r="D4" s="655"/>
      <c r="E4" s="656"/>
      <c r="G4" s="33" t="str">
        <f>+'PRES MR 5 KW'!C19</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288</v>
      </c>
      <c r="B8" s="69" t="str">
        <f>VLOOKUP(A8,Materiales3[],3,FALSE)</f>
        <v>Tuberia IMC 3" x 3m</v>
      </c>
      <c r="C8" s="40" t="str">
        <f>VLOOKUP(A8,Materiales3[],4,FALSE)</f>
        <v>UN</v>
      </c>
      <c r="D8" s="40">
        <f>10/3</f>
        <v>3.3333333333333335</v>
      </c>
      <c r="E8" s="40">
        <f>VLOOKUP(A8,Materiales3[],5,FALSE)*D8</f>
        <v>85</v>
      </c>
      <c r="F8" s="42">
        <f>VLOOKUP(A8,Materiales3[],6,FALSE)</f>
        <v>0</v>
      </c>
      <c r="G8" s="42">
        <f>D8*F8</f>
        <v>0</v>
      </c>
    </row>
    <row r="9" spans="1:7" ht="14.5">
      <c r="A9" s="89">
        <v>289</v>
      </c>
      <c r="B9" s="69" t="str">
        <f>VLOOKUP(A9,Materiales3[],3,FALSE)</f>
        <v>Capacete Galvanizado para tuberia IMC de 3"</v>
      </c>
      <c r="C9" s="40" t="str">
        <f>VLOOKUP(A9,Materiales3[],4,FALSE)</f>
        <v>UN</v>
      </c>
      <c r="D9" s="40">
        <v>1</v>
      </c>
      <c r="E9" s="40">
        <f>VLOOKUP(A9,Materiales3[],5,FALSE)*D9</f>
        <v>0.7</v>
      </c>
      <c r="F9" s="42">
        <f>VLOOKUP(A9,Materiales3[],6,FALSE)</f>
        <v>0</v>
      </c>
      <c r="G9" s="42">
        <f t="shared" ref="G9" si="0">D9*F9</f>
        <v>0</v>
      </c>
    </row>
    <row r="10" spans="1:7" ht="14.5">
      <c r="A10" s="89">
        <v>76</v>
      </c>
      <c r="B10" s="69" t="str">
        <f>VLOOKUP(A10,Materiales3[],3,FALSE)</f>
        <v>Cinta acero inoxidable 19 mm (3/4")</v>
      </c>
      <c r="C10" s="40" t="str">
        <f>VLOOKUP(A10,Materiales3[],4,FALSE)</f>
        <v>UN</v>
      </c>
      <c r="D10" s="40">
        <v>2</v>
      </c>
      <c r="E10" s="40">
        <f>VLOOKUP(A10,Materiales3[],5,FALSE)*D10</f>
        <v>0.1</v>
      </c>
      <c r="F10" s="42">
        <f>VLOOKUP(A10,Materiales3[],6,FALSE)</f>
        <v>0</v>
      </c>
      <c r="G10" s="42">
        <f>D10*F10</f>
        <v>0</v>
      </c>
    </row>
    <row r="11" spans="1:7" ht="14.5">
      <c r="A11" s="89">
        <v>77</v>
      </c>
      <c r="B11" s="69" t="str">
        <f>VLOOKUP(A11,Materiales3[],3,FALSE)</f>
        <v>Hebilla acero inoxidable para cinta 19 mm (3/4")</v>
      </c>
      <c r="C11" s="40" t="str">
        <f>VLOOKUP(A11,Materiales3[],4,FALSE)</f>
        <v>UN</v>
      </c>
      <c r="D11" s="40">
        <v>2</v>
      </c>
      <c r="E11" s="40">
        <f>VLOOKUP(A11,Materiales3[],5,FALSE)*D11</f>
        <v>0.1</v>
      </c>
      <c r="F11" s="42">
        <f>VLOOKUP(A11,Materiales3[],6,FALSE)</f>
        <v>0</v>
      </c>
      <c r="G11" s="42">
        <f t="shared" ref="G11" si="1">D11*F11</f>
        <v>0</v>
      </c>
    </row>
    <row r="12" spans="1:7" ht="14.5">
      <c r="A12" s="89">
        <v>435</v>
      </c>
      <c r="B12" s="69" t="str">
        <f>VLOOKUP(A12,Materiales3[],3,FALSE)</f>
        <v>Union Metalica Galvanizada IMC de 3 IMC 3</v>
      </c>
      <c r="C12" s="40" t="str">
        <f>VLOOKUP(A12,Materiales3[],4,FALSE)</f>
        <v>UN</v>
      </c>
      <c r="D12" s="40">
        <v>3</v>
      </c>
      <c r="E12" s="40">
        <f>VLOOKUP(A12,Materiales3[],5,FALSE)*D12</f>
        <v>8.3999999999999986</v>
      </c>
      <c r="F12" s="42">
        <f>VLOOKUP(A12,Materiales3[],6,FALSE)</f>
        <v>0</v>
      </c>
      <c r="G12" s="42">
        <f t="shared" ref="G12" si="2">D12*F12</f>
        <v>0</v>
      </c>
    </row>
    <row r="13" spans="1:7" ht="14.5">
      <c r="A13" s="89">
        <v>436</v>
      </c>
      <c r="B13" s="69" t="str">
        <f>VLOOKUP(A13,Materiales3[],3,FALSE)</f>
        <v>Curva 90 Grados Galvanizada IMC de 3</v>
      </c>
      <c r="C13" s="40" t="str">
        <f>VLOOKUP(A13,Materiales3[],4,FALSE)</f>
        <v>UN</v>
      </c>
      <c r="D13" s="40">
        <v>1</v>
      </c>
      <c r="E13" s="40">
        <f>VLOOKUP(A13,Materiales3[],5,FALSE)*D13</f>
        <v>5.6</v>
      </c>
      <c r="F13" s="42">
        <f>VLOOKUP(A13,Materiales3[],6,FALSE)</f>
        <v>0</v>
      </c>
      <c r="G13" s="42">
        <f t="shared" ref="G13" si="3">D13*F13</f>
        <v>0</v>
      </c>
    </row>
    <row r="14" spans="1:7" ht="13">
      <c r="D14" s="47"/>
      <c r="E14" s="47"/>
      <c r="F14" s="48" t="s">
        <v>654</v>
      </c>
      <c r="G14" s="49">
        <f>SUM(G8:G13)</f>
        <v>0</v>
      </c>
    </row>
    <row r="15" spans="1:7">
      <c r="G15" s="73"/>
    </row>
    <row r="16" spans="1:7" ht="13">
      <c r="B16" s="50" t="s">
        <v>655</v>
      </c>
      <c r="G16" s="74"/>
    </row>
    <row r="17" spans="1:7" ht="13">
      <c r="A17" s="88" t="s">
        <v>138</v>
      </c>
      <c r="B17" s="37" t="s">
        <v>19</v>
      </c>
      <c r="C17" s="38" t="s">
        <v>665</v>
      </c>
      <c r="D17" s="38" t="s">
        <v>656</v>
      </c>
      <c r="E17" s="38"/>
      <c r="F17" s="38" t="s">
        <v>21</v>
      </c>
      <c r="G17" s="38" t="s">
        <v>286</v>
      </c>
    </row>
    <row r="18" spans="1:7" ht="14.5">
      <c r="A18" s="89">
        <v>1</v>
      </c>
      <c r="B18" s="43" t="str">
        <f>VLOOKUP(A18,Equipoyherramienta[],2,FALSE)</f>
        <v>Herramienta menor</v>
      </c>
      <c r="C18" s="44" t="str">
        <f>VLOOKUP(A18,Equipoyherramienta[],3,FALSE)</f>
        <v>UN</v>
      </c>
      <c r="D18" s="51">
        <f>VLOOKUP(A18,Equipoyherramienta[],4,FALSE)</f>
        <v>0</v>
      </c>
      <c r="E18" s="51"/>
      <c r="F18" s="71">
        <f>+RENDIMIENTOS!C44</f>
        <v>4</v>
      </c>
      <c r="G18" s="51">
        <f>ROUND(D18/F18,0)</f>
        <v>0</v>
      </c>
    </row>
    <row r="19" spans="1:7">
      <c r="B19" s="43"/>
      <c r="C19" s="44"/>
      <c r="D19" s="46"/>
      <c r="E19" s="46"/>
      <c r="F19" s="52"/>
      <c r="G19" s="53"/>
    </row>
    <row r="20" spans="1:7">
      <c r="B20" s="43"/>
      <c r="C20" s="44"/>
      <c r="D20" s="46"/>
      <c r="E20" s="46"/>
      <c r="F20" s="52"/>
      <c r="G20" s="53"/>
    </row>
    <row r="21" spans="1:7" ht="13">
      <c r="D21" s="47"/>
      <c r="E21" s="47"/>
      <c r="F21" s="48" t="s">
        <v>654</v>
      </c>
      <c r="G21" s="49">
        <f>SUM(G18:G20)</f>
        <v>0</v>
      </c>
    </row>
    <row r="22" spans="1:7" ht="13">
      <c r="D22" s="47"/>
      <c r="E22" s="47"/>
      <c r="F22" s="47"/>
      <c r="G22" s="54"/>
    </row>
    <row r="23" spans="1:7" ht="13">
      <c r="B23" s="36" t="s">
        <v>657</v>
      </c>
      <c r="G23" s="55"/>
    </row>
    <row r="24" spans="1:7" ht="13">
      <c r="A24" s="88" t="s">
        <v>138</v>
      </c>
      <c r="B24" s="37" t="s">
        <v>19</v>
      </c>
      <c r="C24" s="38" t="s">
        <v>284</v>
      </c>
      <c r="D24" s="38" t="s">
        <v>410</v>
      </c>
      <c r="E24" s="38"/>
      <c r="F24" s="38" t="s">
        <v>666</v>
      </c>
      <c r="G24" s="56" t="s">
        <v>286</v>
      </c>
    </row>
    <row r="25" spans="1:7"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SUM(E8:E13)</f>
        <v>99.899999999999977</v>
      </c>
      <c r="E25" s="41"/>
      <c r="F25" s="59">
        <f>VLOOKUP(A25,Transp.[],6,FALSE)</f>
        <v>0</v>
      </c>
      <c r="G25" s="59">
        <f>D25*F25</f>
        <v>0</v>
      </c>
    </row>
    <row r="26" spans="1:7" ht="13.15" customHeight="1">
      <c r="A26" s="89"/>
      <c r="B26" s="57"/>
      <c r="C26" s="40"/>
      <c r="D26" s="41"/>
      <c r="E26" s="41"/>
      <c r="F26" s="59"/>
      <c r="G26" s="59"/>
    </row>
    <row r="27" spans="1:7" ht="13.15" customHeight="1">
      <c r="A27" s="89"/>
      <c r="B27" s="57"/>
      <c r="C27" s="40"/>
      <c r="D27" s="41"/>
      <c r="E27" s="41"/>
      <c r="F27" s="59"/>
      <c r="G27" s="59"/>
    </row>
    <row r="28" spans="1:7" ht="13">
      <c r="D28" s="47"/>
      <c r="E28" s="47"/>
      <c r="F28" s="61" t="s">
        <v>654</v>
      </c>
      <c r="G28" s="49">
        <f>SUM(G25:G27)</f>
        <v>0</v>
      </c>
    </row>
    <row r="30" spans="1:7" ht="13">
      <c r="B30" s="36" t="s">
        <v>661</v>
      </c>
      <c r="D30" s="62"/>
      <c r="E30" s="62"/>
      <c r="F30" s="63"/>
      <c r="G30" s="55"/>
    </row>
    <row r="31" spans="1:7" s="47" customFormat="1" ht="13">
      <c r="A31" s="88" t="s">
        <v>138</v>
      </c>
      <c r="B31" s="38" t="s">
        <v>19</v>
      </c>
      <c r="C31" s="38" t="s">
        <v>662</v>
      </c>
      <c r="D31" s="38" t="s">
        <v>663</v>
      </c>
      <c r="E31" s="38"/>
      <c r="F31" s="38" t="s">
        <v>21</v>
      </c>
      <c r="G31" s="56" t="s">
        <v>286</v>
      </c>
    </row>
    <row r="32" spans="1:7" ht="14.5">
      <c r="A32" s="89">
        <v>1</v>
      </c>
      <c r="B32" s="64" t="str">
        <f>VLOOKUP(A32,ManoObra[],2,FALSE)</f>
        <v>Electricista</v>
      </c>
      <c r="C32" s="65">
        <f>VLOOKUP(A32,ManoObra[],8,FALSE)</f>
        <v>0</v>
      </c>
      <c r="D32" s="52">
        <f>+FP!E27</f>
        <v>0</v>
      </c>
      <c r="E32" s="52"/>
      <c r="F32" s="71">
        <f>F18</f>
        <v>4</v>
      </c>
      <c r="G32" s="51">
        <f>ROUND(C32*D32/F32,0)</f>
        <v>0</v>
      </c>
    </row>
    <row r="33" spans="1:7" ht="14.5">
      <c r="A33" s="89">
        <v>2</v>
      </c>
      <c r="B33" s="64" t="str">
        <f>VLOOKUP(A33,ManoObra[],2,FALSE)</f>
        <v>Ayudante</v>
      </c>
      <c r="C33" s="65">
        <f>VLOOKUP(A33,ManoObra[],8,FALSE)</f>
        <v>0</v>
      </c>
      <c r="D33" s="52">
        <f>+FP!E27</f>
        <v>0</v>
      </c>
      <c r="E33" s="52"/>
      <c r="F33" s="71">
        <f>F18</f>
        <v>4</v>
      </c>
      <c r="G33" s="51">
        <f>ROUND(C33*D33/F33,0)</f>
        <v>0</v>
      </c>
    </row>
    <row r="34" spans="1:7" ht="14.5">
      <c r="A34" s="89"/>
      <c r="B34" s="70"/>
      <c r="C34" s="65"/>
      <c r="D34" s="52"/>
      <c r="E34" s="52"/>
      <c r="F34" s="45"/>
      <c r="G34" s="51"/>
    </row>
    <row r="35" spans="1:7" ht="13">
      <c r="D35" s="47"/>
      <c r="E35" s="47"/>
      <c r="F35" s="61" t="s">
        <v>654</v>
      </c>
      <c r="G35" s="75">
        <f>SUM(G32:G34)</f>
        <v>0</v>
      </c>
    </row>
    <row r="36" spans="1:7" ht="13">
      <c r="D36" s="47"/>
      <c r="E36" s="47"/>
      <c r="G36" s="55"/>
    </row>
    <row r="37" spans="1:7" ht="12.75" customHeight="1">
      <c r="B37" s="47"/>
      <c r="D37" s="652" t="s">
        <v>664</v>
      </c>
      <c r="E37" s="654"/>
      <c r="F37" s="653"/>
      <c r="G37" s="66">
        <f>G14+G21+G28+G35</f>
        <v>0</v>
      </c>
    </row>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464C-BFDE-4928-AB33-F49A4F23E522}">
  <sheetPr>
    <tabColor theme="4" tint="0.59999389629810485"/>
    <pageSetUpPr fitToPage="1"/>
  </sheetPr>
  <dimension ref="A1:G34"/>
  <sheetViews>
    <sheetView showGridLines="0" view="pageBreakPreview" zoomScale="80" zoomScaleNormal="120" zoomScaleSheetLayoutView="80" workbookViewId="0">
      <selection activeCell="A5" sqref="A5:A3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KW'!A21</f>
        <v>3.2.1</v>
      </c>
      <c r="D3" s="31"/>
      <c r="E3" s="31"/>
      <c r="F3" s="31"/>
      <c r="G3" s="32" t="s">
        <v>652</v>
      </c>
    </row>
    <row r="4" spans="1:7" ht="13">
      <c r="B4" s="649" t="str">
        <f>+'PRES MR 5 KW'!B21</f>
        <v>Localización y replanteo civil</v>
      </c>
      <c r="C4" s="655"/>
      <c r="D4" s="655"/>
      <c r="E4" s="656"/>
      <c r="G4" s="33" t="str">
        <f>+'PRES MR 5 KW'!C21</f>
        <v>m2</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88</v>
      </c>
      <c r="B8" s="69" t="str">
        <f>VLOOKUP(A8,Materiales3[],3,FALSE)</f>
        <v>Hilo para albañileria en poliuretano</v>
      </c>
      <c r="C8" s="40" t="str">
        <f>VLOOKUP(A8,Materiales3[],4,FALSE)</f>
        <v>ML</v>
      </c>
      <c r="D8" s="40">
        <v>0.5</v>
      </c>
      <c r="E8" s="40">
        <f>VLOOKUP(A8,Materiales3[],5,FALSE)*D8</f>
        <v>2.5000000000000001E-2</v>
      </c>
      <c r="F8" s="42">
        <f>VLOOKUP(A8,Materiales3[],6,FALSE)</f>
        <v>0</v>
      </c>
      <c r="G8" s="42">
        <f>D8*F8</f>
        <v>0</v>
      </c>
    </row>
    <row r="9" spans="1:7" ht="14.5">
      <c r="A9" s="89">
        <v>437</v>
      </c>
      <c r="B9" s="69" t="str">
        <f>VLOOKUP(A9,Materiales3[],3,FALSE)</f>
        <v>Puntilla con cabeza 1"</v>
      </c>
      <c r="C9" s="40" t="str">
        <f>VLOOKUP(A9,Materiales3[],4,FALSE)</f>
        <v>lb</v>
      </c>
      <c r="D9" s="40">
        <v>0.01</v>
      </c>
      <c r="E9" s="40">
        <f>VLOOKUP(A9,Materiales3[],5,FALSE)*D9</f>
        <v>5.0000000000000001E-3</v>
      </c>
      <c r="F9" s="42">
        <f>VLOOKUP(A9,Materiales3[],6,FALSE)</f>
        <v>0</v>
      </c>
      <c r="G9" s="42">
        <f t="shared" ref="G9" si="0">D9*F9</f>
        <v>0</v>
      </c>
    </row>
    <row r="10" spans="1:7" ht="14.5">
      <c r="A10" s="89">
        <v>438</v>
      </c>
      <c r="B10" s="69" t="str">
        <f>VLOOKUP(A10,Materiales3[],3,FALSE)</f>
        <v>Estaca de madera h=0,50 - 0,60m A=4 25 cm</v>
      </c>
      <c r="C10" s="40" t="str">
        <f>VLOOKUP(A10,Materiales3[],4,FALSE)</f>
        <v>UN</v>
      </c>
      <c r="D10" s="40">
        <v>0.5</v>
      </c>
      <c r="E10" s="40">
        <f>VLOOKUP(A10,Materiales3[],5,FALSE)*D10</f>
        <v>0.05</v>
      </c>
      <c r="F10" s="42">
        <f>VLOOKUP(A10,Materiales3[],6,FALSE)</f>
        <v>0</v>
      </c>
      <c r="G10" s="42">
        <f>D10*F10</f>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v>50</v>
      </c>
      <c r="G15" s="51">
        <f>ROUND(D15/F15,0)</f>
        <v>0</v>
      </c>
    </row>
    <row r="16" spans="1:7">
      <c r="B16" s="43"/>
      <c r="C16" s="44"/>
      <c r="D16" s="46"/>
      <c r="E16" s="46"/>
      <c r="F16" s="52"/>
      <c r="G16" s="53"/>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50">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0.08</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v>4</v>
      </c>
      <c r="B29" s="64" t="str">
        <f>VLOOKUP(A29,ManoObra[],2,FALSE)</f>
        <v>Oficial de obra</v>
      </c>
      <c r="C29" s="65">
        <f>VLOOKUP(A29,ManoObra[],8,FALSE)</f>
        <v>0</v>
      </c>
      <c r="D29" s="52">
        <f>+FP!E27</f>
        <v>0</v>
      </c>
      <c r="E29" s="52"/>
      <c r="F29" s="71">
        <f>F15</f>
        <v>50</v>
      </c>
      <c r="G29" s="51">
        <f>ROUND(C29*D29/F29,0)</f>
        <v>0</v>
      </c>
    </row>
    <row r="30" spans="1:7" ht="14.5">
      <c r="A30" s="89">
        <v>2</v>
      </c>
      <c r="B30" s="64" t="str">
        <f>VLOOKUP(A30,ManoObra[],2,FALSE)</f>
        <v>Ayudante</v>
      </c>
      <c r="C30" s="65">
        <f>VLOOKUP(A30,ManoObra[],8,FALSE)</f>
        <v>0</v>
      </c>
      <c r="D30" s="52">
        <f>+FP!E27</f>
        <v>0</v>
      </c>
      <c r="E30" s="52"/>
      <c r="F30" s="71">
        <f>F15</f>
        <v>50</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4F8AC-3F46-4281-9299-9A991027D447}">
  <sheetPr>
    <tabColor theme="4" tint="0.59999389629810485"/>
    <pageSetUpPr fitToPage="1"/>
  </sheetPr>
  <dimension ref="A1:G34"/>
  <sheetViews>
    <sheetView showGridLines="0" view="pageBreakPreview" zoomScale="80" zoomScaleNormal="120" zoomScaleSheetLayoutView="80" workbookViewId="0">
      <selection activeCell="A4" sqref="A4:A3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KW'!A22</f>
        <v>3.2.2</v>
      </c>
      <c r="D3" s="31"/>
      <c r="E3" s="31"/>
      <c r="F3" s="31"/>
      <c r="G3" s="32" t="s">
        <v>652</v>
      </c>
    </row>
    <row r="4" spans="1:7" ht="13">
      <c r="B4" s="649" t="str">
        <f>+'PRES MR 5 KW'!B22</f>
        <v>Desmonte y limpieza del terreno (Incluye retiro de material sobrante)</v>
      </c>
      <c r="C4" s="655"/>
      <c r="D4" s="655"/>
      <c r="E4" s="656"/>
      <c r="G4" s="33" t="str">
        <f>+'PRES MR 5 KW'!C22</f>
        <v>m2</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c r="B8" s="69"/>
      <c r="C8" s="40"/>
      <c r="D8" s="40"/>
      <c r="E8" s="40"/>
      <c r="F8" s="42"/>
      <c r="G8" s="42">
        <f>D8*F8</f>
        <v>0</v>
      </c>
    </row>
    <row r="9" spans="1:7" ht="14.5">
      <c r="A9" s="89"/>
      <c r="B9" s="69"/>
      <c r="C9" s="40"/>
      <c r="D9" s="40"/>
      <c r="E9" s="40"/>
      <c r="F9" s="42"/>
      <c r="G9" s="42">
        <f t="shared" ref="G9" si="0">D9*F9</f>
        <v>0</v>
      </c>
    </row>
    <row r="10" spans="1:7" ht="14.5">
      <c r="A10" s="89"/>
      <c r="B10" s="69"/>
      <c r="C10" s="40"/>
      <c r="D10" s="40"/>
      <c r="E10" s="40"/>
      <c r="F10" s="42"/>
      <c r="G10" s="42">
        <f>D10*F10</f>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v>60</v>
      </c>
      <c r="G15" s="51">
        <f>ROUND(D15/F15,0)</f>
        <v>0</v>
      </c>
    </row>
    <row r="16" spans="1:7" ht="14.5">
      <c r="A16" s="89">
        <v>6</v>
      </c>
      <c r="B16" s="43" t="str">
        <f>VLOOKUP(A16,Equipoyherramienta[],2,FALSE)</f>
        <v>Guadañadora</v>
      </c>
      <c r="C16" s="44" t="str">
        <f>VLOOKUP(A16,Equipoyherramienta[],3,FALSE)</f>
        <v>DIA</v>
      </c>
      <c r="D16" s="51">
        <f>VLOOKUP(A16,Equipoyherramienta[],4,FALSE)</f>
        <v>0</v>
      </c>
      <c r="E16" s="51"/>
      <c r="F16" s="71">
        <v>60</v>
      </c>
      <c r="G16" s="51">
        <f>ROUND(D16/F16,0)</f>
        <v>0</v>
      </c>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50">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0</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v>4</v>
      </c>
      <c r="B29" s="64" t="str">
        <f>VLOOKUP(A29,ManoObra[],2,FALSE)</f>
        <v>Oficial de obra</v>
      </c>
      <c r="C29" s="65">
        <f>VLOOKUP(A29,ManoObra[],8,FALSE)</f>
        <v>0</v>
      </c>
      <c r="D29" s="52">
        <f>+FP!E27</f>
        <v>0</v>
      </c>
      <c r="E29" s="52"/>
      <c r="F29" s="71">
        <f>F15</f>
        <v>60</v>
      </c>
      <c r="G29" s="51">
        <f>ROUND(C29*D29/F29,0)</f>
        <v>0</v>
      </c>
    </row>
    <row r="30" spans="1:7" ht="14.5">
      <c r="A30" s="89">
        <v>2</v>
      </c>
      <c r="B30" s="64" t="str">
        <f>VLOOKUP(A30,ManoObra[],2,FALSE)</f>
        <v>Ayudante</v>
      </c>
      <c r="C30" s="65">
        <f>VLOOKUP(A30,ManoObra[],8,FALSE)</f>
        <v>0</v>
      </c>
      <c r="D30" s="52">
        <f>+FP!E27</f>
        <v>0</v>
      </c>
      <c r="E30" s="52"/>
      <c r="F30" s="71">
        <f>F15</f>
        <v>60</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3096-919D-4672-9201-3BCE28F8E7E1}">
  <sheetPr>
    <tabColor theme="4" tint="0.59999389629810485"/>
    <pageSetUpPr fitToPage="1"/>
  </sheetPr>
  <dimension ref="A1:G34"/>
  <sheetViews>
    <sheetView showGridLines="0" view="pageBreakPreview" zoomScale="80" zoomScaleNormal="120" zoomScaleSheetLayoutView="80" workbookViewId="0">
      <selection activeCell="A4" sqref="A4:A3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KW'!A23</f>
        <v>3.2.3</v>
      </c>
      <c r="D3" s="31"/>
      <c r="E3" s="31"/>
      <c r="F3" s="31"/>
      <c r="G3" s="32" t="s">
        <v>652</v>
      </c>
    </row>
    <row r="4" spans="1:7" ht="13">
      <c r="B4" s="649" t="str">
        <f>+'PRES MR 5 KW'!B23</f>
        <v>Excavación manual (incluye retiro)</v>
      </c>
      <c r="C4" s="655"/>
      <c r="D4" s="655"/>
      <c r="E4" s="656"/>
      <c r="G4" s="33" t="str">
        <f>+'PRES MR 5 KW'!C23</f>
        <v>m3</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c r="B8" s="69"/>
      <c r="C8" s="40"/>
      <c r="D8" s="40"/>
      <c r="E8" s="40"/>
      <c r="F8" s="42"/>
      <c r="G8" s="42">
        <f>D8*F8</f>
        <v>0</v>
      </c>
    </row>
    <row r="9" spans="1:7" ht="14.5">
      <c r="A9" s="89"/>
      <c r="B9" s="69"/>
      <c r="C9" s="40"/>
      <c r="D9" s="40"/>
      <c r="E9" s="40"/>
      <c r="F9" s="42"/>
      <c r="G9" s="42">
        <f t="shared" ref="G9" si="0">D9*F9</f>
        <v>0</v>
      </c>
    </row>
    <row r="10" spans="1:7" ht="14.5">
      <c r="A10" s="89"/>
      <c r="B10" s="69"/>
      <c r="C10" s="40"/>
      <c r="D10" s="40"/>
      <c r="E10" s="40"/>
      <c r="F10" s="42"/>
      <c r="G10" s="42">
        <f>D10*F10</f>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f>+RENDIMIENTOS!C51</f>
        <v>5</v>
      </c>
      <c r="G15" s="51">
        <f>ROUND(D15/F15,0)</f>
        <v>0</v>
      </c>
    </row>
    <row r="16" spans="1:7" ht="14.5">
      <c r="A16" s="89">
        <v>5</v>
      </c>
      <c r="B16" s="43" t="str">
        <f>VLOOKUP(A16,Equipoyherramienta[],2,FALSE)</f>
        <v>Herramienta para hoyar</v>
      </c>
      <c r="C16" s="44" t="str">
        <f>VLOOKUP(A16,Equipoyherramienta[],3,FALSE)</f>
        <v>HORA</v>
      </c>
      <c r="D16" s="51">
        <f>VLOOKUP(A16,Equipoyherramienta[],4,FALSE)</f>
        <v>0</v>
      </c>
      <c r="E16" s="51"/>
      <c r="F16" s="71">
        <f>F15</f>
        <v>5</v>
      </c>
      <c r="G16" s="51">
        <f>ROUND(D16/F16,0)</f>
        <v>0</v>
      </c>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50">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0</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v>4</v>
      </c>
      <c r="B29" s="64" t="str">
        <f>VLOOKUP(A29,ManoObra[],2,FALSE)</f>
        <v>Oficial de obra</v>
      </c>
      <c r="C29" s="65">
        <f>VLOOKUP(A29,ManoObra[],8,FALSE)</f>
        <v>0</v>
      </c>
      <c r="D29" s="52">
        <f>+FP!E27</f>
        <v>0</v>
      </c>
      <c r="E29" s="52"/>
      <c r="F29" s="71">
        <f>F15*2</f>
        <v>10</v>
      </c>
      <c r="G29" s="51">
        <f>ROUND(C29*D29/F29,0)</f>
        <v>0</v>
      </c>
    </row>
    <row r="30" spans="1:7" ht="14.5">
      <c r="A30" s="89">
        <v>2</v>
      </c>
      <c r="B30" s="64" t="str">
        <f>VLOOKUP(A30,ManoObra[],2,FALSE)</f>
        <v>Ayudante</v>
      </c>
      <c r="C30" s="65">
        <f>VLOOKUP(A30,ManoObra[],8,FALSE)</f>
        <v>0</v>
      </c>
      <c r="D30" s="52">
        <f>+FP!E27</f>
        <v>0</v>
      </c>
      <c r="E30" s="52"/>
      <c r="F30" s="71">
        <f>F15</f>
        <v>5</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D01A-009E-4AFA-8FF9-D338E6F7347F}">
  <sheetPr>
    <tabColor theme="4" tint="0.59999389629810485"/>
    <pageSetUpPr fitToPage="1"/>
  </sheetPr>
  <dimension ref="A1:G34"/>
  <sheetViews>
    <sheetView showGridLines="0" view="pageBreakPreview" zoomScale="80" zoomScaleNormal="120" zoomScaleSheetLayoutView="80" workbookViewId="0">
      <selection activeCell="A4" sqref="A4:A3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KW'!A24</f>
        <v>3.2.4</v>
      </c>
      <c r="D3" s="31"/>
      <c r="E3" s="31"/>
      <c r="F3" s="31"/>
      <c r="G3" s="32" t="s">
        <v>652</v>
      </c>
    </row>
    <row r="4" spans="1:7" ht="13">
      <c r="B4" s="649" t="str">
        <f>+'PRES MR 5 KW'!B24</f>
        <v xml:space="preserve">Relleno en sub base granular  SBG-3 (norma invias 320) compactado al 95% del PM </v>
      </c>
      <c r="C4" s="655"/>
      <c r="D4" s="655"/>
      <c r="E4" s="656"/>
      <c r="G4" s="33" t="str">
        <f>+'PRES MR 5 KW'!C24</f>
        <v>m3</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89</v>
      </c>
      <c r="B8" s="69" t="str">
        <f>VLOOKUP(A8,Materiales3[],3,FALSE)</f>
        <v>Agua</v>
      </c>
      <c r="C8" s="40" t="str">
        <f>VLOOKUP(A8,Materiales3[],4,FALSE)</f>
        <v>L</v>
      </c>
      <c r="D8" s="40">
        <v>30</v>
      </c>
      <c r="E8" s="40">
        <f>VLOOKUP(A8,Materiales3[],5,FALSE)*D8</f>
        <v>30</v>
      </c>
      <c r="F8" s="42">
        <f>VLOOKUP(A8,Materiales3[],6,FALSE)</f>
        <v>0</v>
      </c>
      <c r="G8" s="42">
        <f>D8*F8</f>
        <v>0</v>
      </c>
    </row>
    <row r="9" spans="1:7" ht="14.5">
      <c r="A9" s="89">
        <v>396</v>
      </c>
      <c r="B9" s="69" t="str">
        <f>VLOOKUP(A9,Materiales3[],3,FALSE)</f>
        <v>Subbase granular Clase C o similar</v>
      </c>
      <c r="C9" s="40" t="str">
        <f>VLOOKUP(A9,Materiales3[],4,FALSE)</f>
        <v>m3</v>
      </c>
      <c r="D9" s="40">
        <v>1</v>
      </c>
      <c r="E9" s="40">
        <f>VLOOKUP(A9,Materiales3[],5,FALSE)*D9</f>
        <v>1700</v>
      </c>
      <c r="F9" s="42">
        <f>VLOOKUP(A9,Materiales3[],6,FALSE)</f>
        <v>0</v>
      </c>
      <c r="G9" s="42">
        <f>D9*F9</f>
        <v>0</v>
      </c>
    </row>
    <row r="10" spans="1:7" ht="14.5">
      <c r="A10" s="89"/>
      <c r="B10" s="69"/>
      <c r="C10" s="40"/>
      <c r="D10" s="40"/>
      <c r="E10" s="40"/>
      <c r="F10" s="42"/>
      <c r="G10" s="42">
        <f>D10*F10</f>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f>+RENDIMIENTOS!C52</f>
        <v>4</v>
      </c>
      <c r="G15" s="51">
        <f>ROUND(D15/F15,0)</f>
        <v>0</v>
      </c>
    </row>
    <row r="16" spans="1:7" ht="14.5">
      <c r="A16" s="89">
        <v>7</v>
      </c>
      <c r="B16" s="43" t="str">
        <f>VLOOKUP(A16,Equipoyherramienta[],2,FALSE)</f>
        <v>Compactador manual (saltarín) peso de operación (kg.) 52, fuerza de impacto por golpe (KN) 12</v>
      </c>
      <c r="C16" s="44" t="str">
        <f>VLOOKUP(A16,Equipoyherramienta[],3,FALSE)</f>
        <v>HORA</v>
      </c>
      <c r="D16" s="51">
        <f>VLOOKUP(A16,Equipoyherramienta[],4,FALSE)</f>
        <v>0</v>
      </c>
      <c r="E16" s="51"/>
      <c r="F16" s="71">
        <v>2</v>
      </c>
      <c r="G16" s="51">
        <f>ROUND(D16/F16,0)</f>
        <v>0</v>
      </c>
    </row>
    <row r="17" spans="1:7">
      <c r="B17" s="43"/>
      <c r="C17" s="44"/>
      <c r="D17" s="46"/>
      <c r="E17" s="46"/>
      <c r="F17" s="52"/>
      <c r="G17" s="53"/>
    </row>
    <row r="18" spans="1:7" ht="13">
      <c r="D18" s="47"/>
      <c r="E18" s="47"/>
      <c r="F18" s="48" t="s">
        <v>654</v>
      </c>
      <c r="G18" s="49">
        <f>SUM(G15:G17)</f>
        <v>0</v>
      </c>
    </row>
    <row r="19" spans="1:7" ht="13">
      <c r="D19" s="47"/>
      <c r="E19" s="47"/>
      <c r="F19" s="47"/>
      <c r="G19" s="54"/>
    </row>
    <row r="20" spans="1:7" ht="13">
      <c r="B20" s="36" t="s">
        <v>657</v>
      </c>
      <c r="G20" s="55"/>
    </row>
    <row r="21" spans="1:7" ht="13">
      <c r="A21" s="88" t="s">
        <v>138</v>
      </c>
      <c r="B21" s="37" t="s">
        <v>19</v>
      </c>
      <c r="C21" s="38" t="s">
        <v>284</v>
      </c>
      <c r="D21" s="38" t="s">
        <v>410</v>
      </c>
      <c r="E21" s="38"/>
      <c r="F21" s="38" t="s">
        <v>666</v>
      </c>
      <c r="G21" s="56" t="s">
        <v>286</v>
      </c>
    </row>
    <row r="22" spans="1:7" ht="14.5">
      <c r="A22" s="89">
        <v>7</v>
      </c>
      <c r="B22" s="57" t="str">
        <f>VLOOKUP(A22,Transp.[],2,FALSE)</f>
        <v xml:space="preserve">Carga Material Cantera hasta Veredas </v>
      </c>
      <c r="C22" s="40" t="s">
        <v>667</v>
      </c>
      <c r="D22" s="41">
        <f>SUM(E9)</f>
        <v>1700</v>
      </c>
      <c r="E22" s="41"/>
      <c r="F22" s="59">
        <f>VLOOKUP(A22,Transp.[],6,FALSE)</f>
        <v>0</v>
      </c>
      <c r="G22" s="59">
        <f>D22*F22</f>
        <v>0</v>
      </c>
    </row>
    <row r="23" spans="1:7" ht="13.15" customHeight="1">
      <c r="A23" s="89"/>
      <c r="B23" s="57"/>
      <c r="C23" s="40"/>
      <c r="D23" s="41"/>
      <c r="E23" s="41"/>
      <c r="F23" s="59"/>
      <c r="G23" s="59"/>
    </row>
    <row r="24" spans="1:7" ht="13.15" customHeight="1">
      <c r="A24" s="89"/>
      <c r="B24" s="57"/>
      <c r="C24" s="40"/>
      <c r="D24" s="41"/>
      <c r="E24" s="41"/>
      <c r="F24" s="59"/>
      <c r="G24" s="59"/>
    </row>
    <row r="25" spans="1:7" ht="13">
      <c r="D25" s="47"/>
      <c r="E25" s="47"/>
      <c r="F25" s="61" t="s">
        <v>654</v>
      </c>
      <c r="G25" s="49">
        <f>SUM(G22:G24)</f>
        <v>0</v>
      </c>
    </row>
    <row r="27" spans="1:7" ht="13">
      <c r="B27" s="36" t="s">
        <v>661</v>
      </c>
      <c r="D27" s="62"/>
      <c r="E27" s="62"/>
      <c r="F27" s="63"/>
      <c r="G27" s="55"/>
    </row>
    <row r="28" spans="1:7" s="47" customFormat="1" ht="13">
      <c r="A28" s="88" t="s">
        <v>138</v>
      </c>
      <c r="B28" s="38" t="s">
        <v>19</v>
      </c>
      <c r="C28" s="38" t="s">
        <v>662</v>
      </c>
      <c r="D28" s="38" t="s">
        <v>663</v>
      </c>
      <c r="E28" s="38"/>
      <c r="F28" s="38" t="s">
        <v>21</v>
      </c>
      <c r="G28" s="56" t="s">
        <v>286</v>
      </c>
    </row>
    <row r="29" spans="1:7" ht="14.5">
      <c r="A29" s="89"/>
      <c r="B29" s="64"/>
      <c r="C29" s="65"/>
      <c r="D29" s="52"/>
      <c r="E29" s="52"/>
      <c r="F29" s="71"/>
      <c r="G29" s="51"/>
    </row>
    <row r="30" spans="1:7" ht="14.5">
      <c r="A30" s="89">
        <v>2</v>
      </c>
      <c r="B30" s="64" t="str">
        <f>VLOOKUP(A30,ManoObra[],2,FALSE)</f>
        <v>Ayudante</v>
      </c>
      <c r="C30" s="65">
        <f>VLOOKUP(A30,ManoObra[],8,FALSE)</f>
        <v>0</v>
      </c>
      <c r="D30" s="52">
        <f>+FP!E27</f>
        <v>0</v>
      </c>
      <c r="E30" s="52"/>
      <c r="F30" s="71">
        <f>F15</f>
        <v>4</v>
      </c>
      <c r="G30" s="51">
        <f>ROUND(C30*D30/F30,0)</f>
        <v>0</v>
      </c>
    </row>
    <row r="31" spans="1:7" ht="14.5">
      <c r="A31" s="89"/>
      <c r="B31" s="70"/>
      <c r="C31" s="65"/>
      <c r="D31" s="52"/>
      <c r="E31" s="52"/>
      <c r="F31" s="45"/>
      <c r="G31" s="51"/>
    </row>
    <row r="32" spans="1:7"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103B-85A6-4517-884E-E341724AF071}">
  <sheetPr codeName="Hoja41">
    <tabColor theme="8" tint="0.59999389629810485"/>
    <pageSetUpPr fitToPage="1"/>
  </sheetPr>
  <dimension ref="A1:R51"/>
  <sheetViews>
    <sheetView view="pageBreakPreview" topLeftCell="A7" zoomScale="64" zoomScaleNormal="70" zoomScaleSheetLayoutView="64" workbookViewId="0">
      <selection activeCell="N27" sqref="N27:P33"/>
    </sheetView>
  </sheetViews>
  <sheetFormatPr baseColWidth="10" defaultColWidth="11.453125" defaultRowHeight="12.5"/>
  <cols>
    <col min="1" max="1" width="6.26953125" customWidth="1"/>
    <col min="2" max="2" width="61.81640625" customWidth="1"/>
    <col min="3" max="3" width="8.453125" customWidth="1"/>
    <col min="4" max="4" width="11" customWidth="1"/>
    <col min="5" max="10" width="19.26953125" customWidth="1"/>
    <col min="11" max="11" width="20.54296875" customWidth="1"/>
    <col min="12" max="15" width="19.26953125" customWidth="1"/>
    <col min="16" max="16" width="27.54296875" customWidth="1"/>
    <col min="17" max="17" width="22" customWidth="1"/>
    <col min="18" max="18" width="17.26953125" customWidth="1"/>
    <col min="19" max="19" width="15" bestFit="1" customWidth="1"/>
  </cols>
  <sheetData>
    <row r="1" spans="1:18" ht="13">
      <c r="A1" s="546" t="str">
        <f>UPPER('PRES GENERAL MR'!B11)</f>
        <v>IMPLEMENTAR SSVF MICRORED 5 KW</v>
      </c>
      <c r="B1" s="547"/>
      <c r="C1" s="547"/>
      <c r="D1" s="547"/>
      <c r="E1" s="547"/>
      <c r="F1" s="547"/>
      <c r="G1" s="547"/>
      <c r="H1" s="547"/>
      <c r="I1" s="547"/>
      <c r="J1" s="547"/>
      <c r="K1" s="547"/>
      <c r="L1" s="547"/>
      <c r="M1" s="547"/>
      <c r="N1" s="547"/>
      <c r="O1" s="547"/>
      <c r="P1" s="548"/>
    </row>
    <row r="2" spans="1:18" s="24" customFormat="1" ht="30" customHeight="1">
      <c r="A2" s="535" t="str">
        <f>+'PRES GENERAL MR'!A1</f>
        <v>IMPLEMENTACIÓN DE SOLUCIONES ENERGÉTICAS SOSTENIBLES CON FUENTES NO CONVENCIONALES, PARA LAS COMUNIDADES RURALES DEL MUNICIPIO DE PLATO, DEPARTAMENTO MAGDALENA.</v>
      </c>
      <c r="B2" s="549"/>
      <c r="C2" s="549"/>
      <c r="D2" s="549"/>
      <c r="E2" s="549"/>
      <c r="F2" s="549"/>
      <c r="G2" s="549"/>
      <c r="H2" s="549"/>
      <c r="I2" s="549"/>
      <c r="J2" s="549"/>
      <c r="K2" s="549"/>
      <c r="L2" s="549"/>
      <c r="M2" s="549"/>
      <c r="N2" s="549"/>
      <c r="O2" s="549"/>
      <c r="P2" s="550"/>
    </row>
    <row r="3" spans="1:18" s="26" customFormat="1" ht="15" customHeight="1">
      <c r="A3" s="551" t="s">
        <v>486</v>
      </c>
      <c r="B3" s="551" t="s">
        <v>487</v>
      </c>
      <c r="C3" s="551" t="s">
        <v>87</v>
      </c>
      <c r="D3" s="551" t="s">
        <v>488</v>
      </c>
      <c r="E3" s="539" t="s">
        <v>489</v>
      </c>
      <c r="F3" s="540"/>
      <c r="G3" s="540"/>
      <c r="H3" s="540"/>
      <c r="I3" s="540"/>
      <c r="J3" s="541"/>
      <c r="K3" s="542" t="s">
        <v>490</v>
      </c>
      <c r="L3" s="543"/>
      <c r="M3" s="543"/>
      <c r="N3" s="543"/>
      <c r="O3" s="543"/>
      <c r="P3" s="544"/>
    </row>
    <row r="4" spans="1:18" s="26" customFormat="1" ht="40.15" customHeight="1">
      <c r="A4" s="552"/>
      <c r="B4" s="552"/>
      <c r="C4" s="552"/>
      <c r="D4" s="552"/>
      <c r="E4" s="439" t="s">
        <v>282</v>
      </c>
      <c r="F4" s="439" t="s">
        <v>491</v>
      </c>
      <c r="G4" s="439" t="s">
        <v>492</v>
      </c>
      <c r="H4" s="439" t="s">
        <v>493</v>
      </c>
      <c r="I4" s="439" t="s">
        <v>494</v>
      </c>
      <c r="J4" s="27" t="s">
        <v>495</v>
      </c>
      <c r="K4" s="439" t="s">
        <v>282</v>
      </c>
      <c r="L4" s="439" t="s">
        <v>491</v>
      </c>
      <c r="M4" s="439" t="s">
        <v>492</v>
      </c>
      <c r="N4" s="439" t="s">
        <v>493</v>
      </c>
      <c r="O4" s="439" t="s">
        <v>494</v>
      </c>
      <c r="P4" s="27" t="s">
        <v>496</v>
      </c>
    </row>
    <row r="5" spans="1:18" s="18" customFormat="1" ht="13">
      <c r="A5" s="382" t="str">
        <f>+'PRES GENERAL MR'!A12</f>
        <v>3.1</v>
      </c>
      <c r="B5" s="387" t="str">
        <f>+'PRES GENERAL MR'!B12</f>
        <v>Sistema de generación de 18760Wp</v>
      </c>
      <c r="C5" s="384"/>
      <c r="D5" s="384"/>
      <c r="E5" s="384"/>
      <c r="F5" s="384"/>
      <c r="G5" s="384"/>
      <c r="H5" s="384"/>
      <c r="I5" s="384"/>
      <c r="J5" s="384"/>
      <c r="K5" s="384"/>
      <c r="L5" s="384"/>
      <c r="M5" s="384"/>
      <c r="N5" s="384"/>
      <c r="O5" s="384"/>
      <c r="P5" s="386"/>
    </row>
    <row r="6" spans="1:18" s="18" customFormat="1" ht="87.5">
      <c r="A6" s="244" t="s">
        <v>588</v>
      </c>
      <c r="B6" s="245" t="s">
        <v>589</v>
      </c>
      <c r="C6" s="244" t="s">
        <v>92</v>
      </c>
      <c r="D6" s="246">
        <v>28</v>
      </c>
      <c r="E6" s="247">
        <f>+'3.1.1'!G16</f>
        <v>0</v>
      </c>
      <c r="F6" s="247">
        <f>+'3.1.1'!G23</f>
        <v>0</v>
      </c>
      <c r="G6" s="247">
        <f>+'3.1.1'!G30</f>
        <v>0</v>
      </c>
      <c r="H6" s="247">
        <f>+'3.1.1'!G34</f>
        <v>0</v>
      </c>
      <c r="I6" s="247">
        <f>+'3.1.1'!G35</f>
        <v>0</v>
      </c>
      <c r="J6" s="247">
        <f t="shared" ref="J6:J8" si="0">SUM(E6:I6)</f>
        <v>0</v>
      </c>
      <c r="K6" s="247">
        <f t="shared" ref="K6:O22" si="1">+$D6*E6</f>
        <v>0</v>
      </c>
      <c r="L6" s="247">
        <f t="shared" si="1"/>
        <v>0</v>
      </c>
      <c r="M6" s="247">
        <f t="shared" si="1"/>
        <v>0</v>
      </c>
      <c r="N6" s="247">
        <f t="shared" si="1"/>
        <v>0</v>
      </c>
      <c r="O6" s="247">
        <f t="shared" si="1"/>
        <v>0</v>
      </c>
      <c r="P6" s="247">
        <f>J6*D6</f>
        <v>0</v>
      </c>
    </row>
    <row r="7" spans="1:18" s="18" customFormat="1" ht="108.65" customHeight="1">
      <c r="A7" s="244" t="s">
        <v>590</v>
      </c>
      <c r="B7" s="245" t="s">
        <v>591</v>
      </c>
      <c r="C7" s="244" t="s">
        <v>92</v>
      </c>
      <c r="D7" s="246">
        <v>1</v>
      </c>
      <c r="E7" s="247">
        <f>+'3.1.2'!G16</f>
        <v>0</v>
      </c>
      <c r="F7" s="247">
        <f>+'3.1.2'!G23</f>
        <v>0</v>
      </c>
      <c r="G7" s="247">
        <f>+'3.1.2'!G30</f>
        <v>0</v>
      </c>
      <c r="H7" s="247">
        <f>+'3.1.2'!G34</f>
        <v>0</v>
      </c>
      <c r="I7" s="247">
        <f>+'3.1.2'!G35</f>
        <v>0</v>
      </c>
      <c r="J7" s="247">
        <f t="shared" si="0"/>
        <v>0</v>
      </c>
      <c r="K7" s="247">
        <f t="shared" si="1"/>
        <v>0</v>
      </c>
      <c r="L7" s="247">
        <f t="shared" si="1"/>
        <v>0</v>
      </c>
      <c r="M7" s="247">
        <f t="shared" si="1"/>
        <v>0</v>
      </c>
      <c r="N7" s="247">
        <f t="shared" si="1"/>
        <v>0</v>
      </c>
      <c r="O7" s="247">
        <f t="shared" si="1"/>
        <v>0</v>
      </c>
      <c r="P7" s="247">
        <f t="shared" ref="P7:P34" si="2">J7*D7</f>
        <v>0</v>
      </c>
    </row>
    <row r="8" spans="1:18" s="18" customFormat="1" ht="65.5" customHeight="1">
      <c r="A8" s="244" t="s">
        <v>592</v>
      </c>
      <c r="B8" s="245" t="s">
        <v>593</v>
      </c>
      <c r="C8" s="244" t="s">
        <v>92</v>
      </c>
      <c r="D8" s="246">
        <v>1</v>
      </c>
      <c r="E8" s="247">
        <f>+'3.1.3'!G34</f>
        <v>0</v>
      </c>
      <c r="F8" s="247">
        <f>+'3.1.3'!G41</f>
        <v>0</v>
      </c>
      <c r="G8" s="247">
        <f>+'3.1.3'!G48</f>
        <v>0</v>
      </c>
      <c r="H8" s="247">
        <f>+'3.1.3'!G52</f>
        <v>0</v>
      </c>
      <c r="I8" s="247">
        <f>+'3.1.3'!G53</f>
        <v>0</v>
      </c>
      <c r="J8" s="247">
        <f t="shared" si="0"/>
        <v>0</v>
      </c>
      <c r="K8" s="247">
        <f t="shared" ref="K8" si="3">+$D8*E8</f>
        <v>0</v>
      </c>
      <c r="L8" s="247">
        <f t="shared" ref="L8" si="4">+$D8*F8</f>
        <v>0</v>
      </c>
      <c r="M8" s="247">
        <f t="shared" ref="M8" si="5">+$D8*G8</f>
        <v>0</v>
      </c>
      <c r="N8" s="247">
        <f t="shared" ref="N8" si="6">+$D8*H8</f>
        <v>0</v>
      </c>
      <c r="O8" s="247">
        <f t="shared" ref="O8" si="7">+$D8*I8</f>
        <v>0</v>
      </c>
      <c r="P8" s="247">
        <f t="shared" ref="P8" si="8">J8*D8</f>
        <v>0</v>
      </c>
    </row>
    <row r="9" spans="1:18" s="18" customFormat="1" ht="86.5" customHeight="1">
      <c r="A9" s="244" t="s">
        <v>594</v>
      </c>
      <c r="B9" s="245" t="s">
        <v>595</v>
      </c>
      <c r="C9" s="244" t="s">
        <v>92</v>
      </c>
      <c r="D9" s="246">
        <v>2</v>
      </c>
      <c r="E9" s="247">
        <f>+'3.1.4'!G15</f>
        <v>0</v>
      </c>
      <c r="F9" s="247">
        <f>+'3.1.4'!G22</f>
        <v>0</v>
      </c>
      <c r="G9" s="247">
        <f>+'3.1.4'!G29</f>
        <v>0</v>
      </c>
      <c r="H9" s="247">
        <f>+'3.1.4'!G33</f>
        <v>0</v>
      </c>
      <c r="I9" s="247">
        <f>+'3.1.4'!G34</f>
        <v>0</v>
      </c>
      <c r="J9" s="247">
        <f>SUM(E9:I9)</f>
        <v>0</v>
      </c>
      <c r="K9" s="247">
        <f>+$D9*E9</f>
        <v>0</v>
      </c>
      <c r="L9" s="247">
        <f>+$D9*F9</f>
        <v>0</v>
      </c>
      <c r="M9" s="247">
        <f>+$D9*G9</f>
        <v>0</v>
      </c>
      <c r="N9" s="247">
        <f>+$D9*H9</f>
        <v>0</v>
      </c>
      <c r="O9" s="247">
        <f>+$D9*I9</f>
        <v>0</v>
      </c>
      <c r="P9" s="247">
        <f>J9*D9</f>
        <v>0</v>
      </c>
    </row>
    <row r="10" spans="1:18" s="18" customFormat="1" ht="70.150000000000006" customHeight="1">
      <c r="A10" s="244" t="s">
        <v>596</v>
      </c>
      <c r="B10" s="245" t="s">
        <v>597</v>
      </c>
      <c r="C10" s="244" t="s">
        <v>92</v>
      </c>
      <c r="D10" s="246">
        <v>1</v>
      </c>
      <c r="E10" s="247">
        <f>+'3.1.5'!G26</f>
        <v>0</v>
      </c>
      <c r="F10" s="247">
        <f>+'3.1.5'!G33</f>
        <v>0</v>
      </c>
      <c r="G10" s="247">
        <f>+'3.1.5'!G40</f>
        <v>0</v>
      </c>
      <c r="H10" s="247">
        <f>+'3.1.5'!G44</f>
        <v>0</v>
      </c>
      <c r="I10" s="247">
        <f>+'3.1.5'!G45</f>
        <v>0</v>
      </c>
      <c r="J10" s="247">
        <f>SUM(E10:I10)</f>
        <v>0</v>
      </c>
      <c r="K10" s="247">
        <f t="shared" si="1"/>
        <v>0</v>
      </c>
      <c r="L10" s="247">
        <f>+$D10*F10</f>
        <v>0</v>
      </c>
      <c r="M10" s="247">
        <f>+$D10*G10</f>
        <v>0</v>
      </c>
      <c r="N10" s="247">
        <f t="shared" si="1"/>
        <v>0</v>
      </c>
      <c r="O10" s="247">
        <f t="shared" si="1"/>
        <v>0</v>
      </c>
      <c r="P10" s="247">
        <f t="shared" si="2"/>
        <v>0</v>
      </c>
    </row>
    <row r="11" spans="1:18" s="18" customFormat="1" ht="102" customHeight="1">
      <c r="A11" s="244" t="s">
        <v>598</v>
      </c>
      <c r="B11" s="245" t="s">
        <v>599</v>
      </c>
      <c r="C11" s="244" t="s">
        <v>92</v>
      </c>
      <c r="D11" s="246">
        <v>1</v>
      </c>
      <c r="E11" s="247">
        <f>+'3.1.6'!G24</f>
        <v>0</v>
      </c>
      <c r="F11" s="247">
        <f>+'3.1.6'!G31</f>
        <v>0</v>
      </c>
      <c r="G11" s="247">
        <f>+'3.1.6'!G38</f>
        <v>0</v>
      </c>
      <c r="H11" s="247">
        <f>+'3.1.6'!G42</f>
        <v>0</v>
      </c>
      <c r="I11" s="247">
        <f>+'3.1.6'!G43</f>
        <v>0</v>
      </c>
      <c r="J11" s="247">
        <f>SUM(E11:I11)</f>
        <v>0</v>
      </c>
      <c r="K11" s="247">
        <f t="shared" si="1"/>
        <v>0</v>
      </c>
      <c r="L11" s="247">
        <f>+$D11*F11</f>
        <v>0</v>
      </c>
      <c r="M11" s="247">
        <f t="shared" ref="M11:M22" si="9">+$D11*G11</f>
        <v>0</v>
      </c>
      <c r="N11" s="247">
        <f t="shared" si="1"/>
        <v>0</v>
      </c>
      <c r="O11" s="247">
        <f t="shared" si="1"/>
        <v>0</v>
      </c>
      <c r="P11" s="247">
        <f t="shared" si="2"/>
        <v>0</v>
      </c>
      <c r="R11" s="28"/>
    </row>
    <row r="12" spans="1:18" s="18" customFormat="1" ht="37.5">
      <c r="A12" s="244" t="s">
        <v>600</v>
      </c>
      <c r="B12" s="245" t="s">
        <v>601</v>
      </c>
      <c r="C12" s="244" t="s">
        <v>92</v>
      </c>
      <c r="D12" s="246">
        <v>1</v>
      </c>
      <c r="E12" s="247">
        <f>+'3.1.7'!G13</f>
        <v>0</v>
      </c>
      <c r="F12" s="247">
        <f>+'3.1.7'!G20</f>
        <v>0</v>
      </c>
      <c r="G12" s="247">
        <f>+'3.1.7'!G27</f>
        <v>0</v>
      </c>
      <c r="H12" s="247">
        <f>+'3.1.7'!G31</f>
        <v>0</v>
      </c>
      <c r="I12" s="247">
        <f>+'3.1.7'!G32</f>
        <v>0</v>
      </c>
      <c r="J12" s="247">
        <f>SUM(E12:I12)</f>
        <v>0</v>
      </c>
      <c r="K12" s="247">
        <f t="shared" si="1"/>
        <v>0</v>
      </c>
      <c r="L12" s="247">
        <f>+$D12*F12</f>
        <v>0</v>
      </c>
      <c r="M12" s="247">
        <f t="shared" si="9"/>
        <v>0</v>
      </c>
      <c r="N12" s="247">
        <f t="shared" si="1"/>
        <v>0</v>
      </c>
      <c r="O12" s="247">
        <f t="shared" si="1"/>
        <v>0</v>
      </c>
      <c r="P12" s="247">
        <f t="shared" si="2"/>
        <v>0</v>
      </c>
      <c r="R12" s="28"/>
    </row>
    <row r="13" spans="1:18" s="18" customFormat="1" ht="37.5">
      <c r="A13" s="244" t="s">
        <v>602</v>
      </c>
      <c r="B13" s="245" t="s">
        <v>603</v>
      </c>
      <c r="C13" s="244" t="s">
        <v>92</v>
      </c>
      <c r="D13" s="246">
        <v>1</v>
      </c>
      <c r="E13" s="247">
        <f>+'3.1.8'!G18</f>
        <v>0</v>
      </c>
      <c r="F13" s="247">
        <f>+'3.1.8'!G25</f>
        <v>0</v>
      </c>
      <c r="G13" s="247">
        <f>+'3.1.8'!G32</f>
        <v>0</v>
      </c>
      <c r="H13" s="247">
        <f>+'3.1.8'!G36</f>
        <v>0</v>
      </c>
      <c r="I13" s="247">
        <f>+'3.1.8'!G37</f>
        <v>0</v>
      </c>
      <c r="J13" s="247">
        <f>SUM(E13:I13)</f>
        <v>0</v>
      </c>
      <c r="K13" s="247">
        <f t="shared" ref="K13" si="10">+$D13*E13</f>
        <v>0</v>
      </c>
      <c r="L13" s="247">
        <f>+$D13*F13</f>
        <v>0</v>
      </c>
      <c r="M13" s="247">
        <f t="shared" ref="M13" si="11">+$D13*G13</f>
        <v>0</v>
      </c>
      <c r="N13" s="247">
        <f t="shared" ref="N13" si="12">+$D13*H13</f>
        <v>0</v>
      </c>
      <c r="O13" s="247">
        <f t="shared" ref="O13" si="13">+$D13*I13</f>
        <v>0</v>
      </c>
      <c r="P13" s="247">
        <f t="shared" ref="P13" si="14">J13*D13</f>
        <v>0</v>
      </c>
      <c r="R13" s="28"/>
    </row>
    <row r="14" spans="1:18" s="18" customFormat="1" ht="30.65" customHeight="1">
      <c r="A14" s="244" t="s">
        <v>604</v>
      </c>
      <c r="B14" s="245" t="s">
        <v>605</v>
      </c>
      <c r="C14" s="244" t="s">
        <v>92</v>
      </c>
      <c r="D14" s="246">
        <v>1</v>
      </c>
      <c r="E14" s="247">
        <f>+'3.1.9'!G20</f>
        <v>0</v>
      </c>
      <c r="F14" s="247">
        <f>+'3.1.9'!G27</f>
        <v>0</v>
      </c>
      <c r="G14" s="247">
        <f>+'3.1.9'!G34</f>
        <v>0</v>
      </c>
      <c r="H14" s="247">
        <f>+'3.1.9'!G38</f>
        <v>0</v>
      </c>
      <c r="I14" s="247">
        <f>+'3.1.9'!G39</f>
        <v>0</v>
      </c>
      <c r="J14" s="247">
        <f t="shared" ref="J14:J17" si="15">SUM(E14:I14)</f>
        <v>0</v>
      </c>
      <c r="K14" s="247">
        <f t="shared" ref="K14:K19" si="16">+$D14*E14</f>
        <v>0</v>
      </c>
      <c r="L14" s="247">
        <f t="shared" ref="L14:L19" si="17">+$D14*F14</f>
        <v>0</v>
      </c>
      <c r="M14" s="247">
        <f t="shared" ref="M14:M19" si="18">+$D14*G14</f>
        <v>0</v>
      </c>
      <c r="N14" s="247">
        <f t="shared" ref="N14:N19" si="19">+$D14*H14</f>
        <v>0</v>
      </c>
      <c r="O14" s="247">
        <f t="shared" ref="O14:O19" si="20">+$D14*I14</f>
        <v>0</v>
      </c>
      <c r="P14" s="247">
        <f t="shared" ref="P14:P19" si="21">J14*D14</f>
        <v>0</v>
      </c>
      <c r="R14" s="28"/>
    </row>
    <row r="15" spans="1:18" s="18" customFormat="1" ht="60.65" customHeight="1">
      <c r="A15" s="244" t="s">
        <v>606</v>
      </c>
      <c r="B15" s="245" t="s">
        <v>607</v>
      </c>
      <c r="C15" s="244" t="s">
        <v>92</v>
      </c>
      <c r="D15" s="246">
        <v>1</v>
      </c>
      <c r="E15" s="247">
        <f>+'3.1.10'!G21</f>
        <v>0</v>
      </c>
      <c r="F15" s="247">
        <f>+'3.1.10'!G28</f>
        <v>0</v>
      </c>
      <c r="G15" s="247">
        <f>+'3.1.10'!G35</f>
        <v>0</v>
      </c>
      <c r="H15" s="247">
        <f>+'3.1.10'!G39</f>
        <v>0</v>
      </c>
      <c r="I15" s="247">
        <f>+'3.1.10'!G40</f>
        <v>0</v>
      </c>
      <c r="J15" s="247">
        <f t="shared" si="15"/>
        <v>0</v>
      </c>
      <c r="K15" s="247">
        <f t="shared" si="16"/>
        <v>0</v>
      </c>
      <c r="L15" s="247">
        <f t="shared" si="17"/>
        <v>0</v>
      </c>
      <c r="M15" s="247">
        <f t="shared" si="18"/>
        <v>0</v>
      </c>
      <c r="N15" s="247">
        <f t="shared" si="19"/>
        <v>0</v>
      </c>
      <c r="O15" s="247">
        <f t="shared" si="20"/>
        <v>0</v>
      </c>
      <c r="P15" s="247">
        <f t="shared" si="21"/>
        <v>0</v>
      </c>
      <c r="R15" s="28"/>
    </row>
    <row r="16" spans="1:18" s="18" customFormat="1" ht="50">
      <c r="A16" s="244" t="s">
        <v>608</v>
      </c>
      <c r="B16" s="245" t="s">
        <v>609</v>
      </c>
      <c r="C16" s="244" t="s">
        <v>610</v>
      </c>
      <c r="D16" s="246">
        <v>1</v>
      </c>
      <c r="E16" s="247">
        <f>+'3.1.11'!G21</f>
        <v>0</v>
      </c>
      <c r="F16" s="247">
        <f>+'3.1.11'!G28</f>
        <v>0</v>
      </c>
      <c r="G16" s="247">
        <f>+'3.1.11'!G35</f>
        <v>0</v>
      </c>
      <c r="H16" s="247">
        <f>+'3.1.11'!G39</f>
        <v>0</v>
      </c>
      <c r="I16" s="247">
        <f>+'3.1.11'!G40</f>
        <v>0</v>
      </c>
      <c r="J16" s="247">
        <f t="shared" si="15"/>
        <v>0</v>
      </c>
      <c r="K16" s="247">
        <f t="shared" si="16"/>
        <v>0</v>
      </c>
      <c r="L16" s="247">
        <f t="shared" si="17"/>
        <v>0</v>
      </c>
      <c r="M16" s="247">
        <f t="shared" si="18"/>
        <v>0</v>
      </c>
      <c r="N16" s="247">
        <f t="shared" si="19"/>
        <v>0</v>
      </c>
      <c r="O16" s="247">
        <f t="shared" si="20"/>
        <v>0</v>
      </c>
      <c r="P16" s="247">
        <f t="shared" si="21"/>
        <v>0</v>
      </c>
      <c r="R16" s="28"/>
    </row>
    <row r="17" spans="1:18" s="18" customFormat="1" ht="25">
      <c r="A17" s="244" t="s">
        <v>611</v>
      </c>
      <c r="B17" s="245" t="s">
        <v>612</v>
      </c>
      <c r="C17" s="244" t="s">
        <v>92</v>
      </c>
      <c r="D17" s="246">
        <v>1</v>
      </c>
      <c r="E17" s="247">
        <f>+'3.1.12'!G11</f>
        <v>0</v>
      </c>
      <c r="F17" s="247">
        <f>+'3.1.12'!G18</f>
        <v>0</v>
      </c>
      <c r="G17" s="247">
        <f>+'3.1.12'!G25</f>
        <v>0</v>
      </c>
      <c r="H17" s="247">
        <f>+'3.1.12'!G29</f>
        <v>0</v>
      </c>
      <c r="I17" s="247">
        <f>+'3.1.12'!G30</f>
        <v>0</v>
      </c>
      <c r="J17" s="247">
        <f t="shared" si="15"/>
        <v>0</v>
      </c>
      <c r="K17" s="247">
        <f t="shared" si="16"/>
        <v>0</v>
      </c>
      <c r="L17" s="247">
        <f t="shared" si="17"/>
        <v>0</v>
      </c>
      <c r="M17" s="247">
        <f t="shared" si="18"/>
        <v>0</v>
      </c>
      <c r="N17" s="247">
        <f t="shared" si="19"/>
        <v>0</v>
      </c>
      <c r="O17" s="247">
        <f t="shared" si="20"/>
        <v>0</v>
      </c>
      <c r="P17" s="247">
        <f t="shared" si="21"/>
        <v>0</v>
      </c>
      <c r="R17" s="28"/>
    </row>
    <row r="18" spans="1:18" s="18" customFormat="1" ht="62.5">
      <c r="A18" s="244" t="s">
        <v>613</v>
      </c>
      <c r="B18" s="245" t="s">
        <v>614</v>
      </c>
      <c r="C18" s="244" t="s">
        <v>92</v>
      </c>
      <c r="D18" s="246">
        <v>1</v>
      </c>
      <c r="E18" s="247">
        <f>+'3.1.13'!G14</f>
        <v>0</v>
      </c>
      <c r="F18" s="247">
        <f>+'3.1.13'!G21</f>
        <v>0</v>
      </c>
      <c r="G18" s="247">
        <f>+'3.1.13'!G28</f>
        <v>0</v>
      </c>
      <c r="H18" s="247">
        <f>+'3.1.13'!G32</f>
        <v>0</v>
      </c>
      <c r="I18" s="247">
        <f>+'3.1.13'!G33</f>
        <v>0</v>
      </c>
      <c r="J18" s="247">
        <f>SUM(E18:I18)</f>
        <v>0</v>
      </c>
      <c r="K18" s="247">
        <f t="shared" si="16"/>
        <v>0</v>
      </c>
      <c r="L18" s="247">
        <f t="shared" si="17"/>
        <v>0</v>
      </c>
      <c r="M18" s="247">
        <f t="shared" si="18"/>
        <v>0</v>
      </c>
      <c r="N18" s="247">
        <f t="shared" si="19"/>
        <v>0</v>
      </c>
      <c r="O18" s="247">
        <f t="shared" si="20"/>
        <v>0</v>
      </c>
      <c r="P18" s="247">
        <f t="shared" si="21"/>
        <v>0</v>
      </c>
      <c r="R18" s="28"/>
    </row>
    <row r="19" spans="1:18" s="18" customFormat="1" ht="49.9" customHeight="1">
      <c r="A19" s="244" t="s">
        <v>615</v>
      </c>
      <c r="B19" s="245" t="s">
        <v>616</v>
      </c>
      <c r="C19" s="244" t="s">
        <v>92</v>
      </c>
      <c r="D19" s="246">
        <v>1</v>
      </c>
      <c r="E19" s="247">
        <f>+'3.1.14'!G14</f>
        <v>0</v>
      </c>
      <c r="F19" s="247">
        <f>+'3.1.14'!G21</f>
        <v>0</v>
      </c>
      <c r="G19" s="247">
        <f>+'3.1.14'!G28</f>
        <v>0</v>
      </c>
      <c r="H19" s="247">
        <f>+'3.1.14'!G32</f>
        <v>0</v>
      </c>
      <c r="I19" s="247">
        <f>+'3.1.14'!G33</f>
        <v>0</v>
      </c>
      <c r="J19" s="247">
        <f>SUM(E19:I19)</f>
        <v>0</v>
      </c>
      <c r="K19" s="247">
        <f t="shared" si="16"/>
        <v>0</v>
      </c>
      <c r="L19" s="247">
        <f t="shared" si="17"/>
        <v>0</v>
      </c>
      <c r="M19" s="247">
        <f t="shared" si="18"/>
        <v>0</v>
      </c>
      <c r="N19" s="247">
        <f t="shared" si="19"/>
        <v>0</v>
      </c>
      <c r="O19" s="247">
        <f t="shared" si="20"/>
        <v>0</v>
      </c>
      <c r="P19" s="247">
        <f t="shared" si="21"/>
        <v>0</v>
      </c>
    </row>
    <row r="20" spans="1:18" s="18" customFormat="1" ht="13">
      <c r="A20" s="382" t="str">
        <f>+'PRES GENERAL MR'!A13</f>
        <v>3.2</v>
      </c>
      <c r="B20" s="387" t="str">
        <f>+'PRES GENERAL MR'!B13</f>
        <v>Obras civiles para estructura de 28 paneles solares y cuarto de equipos y almacenamiento RESPEL</v>
      </c>
      <c r="C20" s="384"/>
      <c r="D20" s="384"/>
      <c r="E20" s="384"/>
      <c r="F20" s="384"/>
      <c r="G20" s="384"/>
      <c r="H20" s="384"/>
      <c r="I20" s="384"/>
      <c r="J20" s="384"/>
      <c r="K20" s="384"/>
      <c r="L20" s="384"/>
      <c r="M20" s="384"/>
      <c r="N20" s="384"/>
      <c r="O20" s="384"/>
      <c r="P20" s="386"/>
      <c r="R20" s="28"/>
    </row>
    <row r="21" spans="1:18" s="18" customFormat="1">
      <c r="A21" s="244" t="s">
        <v>617</v>
      </c>
      <c r="B21" s="245" t="s">
        <v>425</v>
      </c>
      <c r="C21" s="244" t="s">
        <v>618</v>
      </c>
      <c r="D21" s="404">
        <v>189.39679999999998</v>
      </c>
      <c r="E21" s="247">
        <f>+'3.2.1'!G11</f>
        <v>0</v>
      </c>
      <c r="F21" s="247">
        <f>+'3.2.1'!G18</f>
        <v>0</v>
      </c>
      <c r="G21" s="247">
        <f>+'3.2.1'!G25</f>
        <v>0</v>
      </c>
      <c r="H21" s="247">
        <f>+'3.2.1'!G29</f>
        <v>0</v>
      </c>
      <c r="I21" s="247">
        <f>+'3.2.1'!G30</f>
        <v>0</v>
      </c>
      <c r="J21" s="247">
        <f t="shared" ref="J21" si="22">SUM(E21:I21)</f>
        <v>0</v>
      </c>
      <c r="K21" s="247">
        <f t="shared" ref="K21:L21" si="23">+$D21*E21</f>
        <v>0</v>
      </c>
      <c r="L21" s="247">
        <f t="shared" si="23"/>
        <v>0</v>
      </c>
      <c r="M21" s="247">
        <f t="shared" si="9"/>
        <v>0</v>
      </c>
      <c r="N21" s="247">
        <f t="shared" si="1"/>
        <v>0</v>
      </c>
      <c r="O21" s="247">
        <f t="shared" si="1"/>
        <v>0</v>
      </c>
      <c r="P21" s="247">
        <f t="shared" si="2"/>
        <v>0</v>
      </c>
    </row>
    <row r="22" spans="1:18" s="18" customFormat="1">
      <c r="A22" s="244" t="s">
        <v>619</v>
      </c>
      <c r="B22" s="245" t="s">
        <v>431</v>
      </c>
      <c r="C22" s="244" t="s">
        <v>618</v>
      </c>
      <c r="D22" s="404">
        <v>161.36000000000001</v>
      </c>
      <c r="E22" s="247">
        <f>+'3.2.2'!G11</f>
        <v>0</v>
      </c>
      <c r="F22" s="247">
        <f>+'3.2.2'!G18</f>
        <v>0</v>
      </c>
      <c r="G22" s="247">
        <f>+'3.2.2'!G25</f>
        <v>0</v>
      </c>
      <c r="H22" s="247">
        <f>+'3.2.2'!G29</f>
        <v>0</v>
      </c>
      <c r="I22" s="247">
        <f>+'3.2.2'!G30</f>
        <v>0</v>
      </c>
      <c r="J22" s="247">
        <f t="shared" ref="J22:J23" si="24">SUM(E22:I22)</f>
        <v>0</v>
      </c>
      <c r="K22" s="247">
        <f>+$D22*E22</f>
        <v>0</v>
      </c>
      <c r="L22" s="247">
        <f>+$D22*F22</f>
        <v>0</v>
      </c>
      <c r="M22" s="247">
        <f t="shared" si="9"/>
        <v>0</v>
      </c>
      <c r="N22" s="247">
        <f t="shared" si="1"/>
        <v>0</v>
      </c>
      <c r="O22" s="247">
        <f t="shared" si="1"/>
        <v>0</v>
      </c>
      <c r="P22" s="247">
        <f t="shared" si="2"/>
        <v>0</v>
      </c>
    </row>
    <row r="23" spans="1:18" s="18" customFormat="1">
      <c r="A23" s="244" t="s">
        <v>620</v>
      </c>
      <c r="B23" s="245" t="s">
        <v>432</v>
      </c>
      <c r="C23" s="244" t="s">
        <v>621</v>
      </c>
      <c r="D23" s="404">
        <v>19.449730016469243</v>
      </c>
      <c r="E23" s="247">
        <f>+'3.2.3'!G11</f>
        <v>0</v>
      </c>
      <c r="F23" s="247">
        <f>+'3.2.3'!G18</f>
        <v>0</v>
      </c>
      <c r="G23" s="247">
        <f>+'3.2.3'!G25</f>
        <v>0</v>
      </c>
      <c r="H23" s="247">
        <f>+'3.2.3'!G29</f>
        <v>0</v>
      </c>
      <c r="I23" s="247">
        <f>+'3.2.3'!G30</f>
        <v>0</v>
      </c>
      <c r="J23" s="247">
        <f t="shared" si="24"/>
        <v>0</v>
      </c>
      <c r="K23" s="247">
        <f t="shared" ref="K23:K32" si="25">+$D23*E23</f>
        <v>0</v>
      </c>
      <c r="L23" s="247">
        <f t="shared" ref="L23:L32" si="26">+$D23*F23</f>
        <v>0</v>
      </c>
      <c r="M23" s="247">
        <f t="shared" ref="M23:M32" si="27">+$D23*G23</f>
        <v>0</v>
      </c>
      <c r="N23" s="247">
        <f t="shared" ref="N23:N32" si="28">+$D23*H23</f>
        <v>0</v>
      </c>
      <c r="O23" s="247">
        <f t="shared" ref="O23:O32" si="29">+$D23*I23</f>
        <v>0</v>
      </c>
      <c r="P23" s="247">
        <f t="shared" ref="P23:P32" si="30">J23*D23</f>
        <v>0</v>
      </c>
    </row>
    <row r="24" spans="1:18" s="18" customFormat="1" ht="30.65" customHeight="1">
      <c r="A24" s="244" t="s">
        <v>622</v>
      </c>
      <c r="B24" s="245" t="s">
        <v>623</v>
      </c>
      <c r="C24" s="244" t="s">
        <v>621</v>
      </c>
      <c r="D24" s="404">
        <v>4.805625</v>
      </c>
      <c r="E24" s="247">
        <f>+'3.2.4'!G11</f>
        <v>0</v>
      </c>
      <c r="F24" s="247">
        <f>+'3.2.4'!G18</f>
        <v>0</v>
      </c>
      <c r="G24" s="247">
        <f>+'3.2.4'!G25</f>
        <v>0</v>
      </c>
      <c r="H24" s="247">
        <f>+'3.2.4'!G29</f>
        <v>0</v>
      </c>
      <c r="I24" s="247">
        <f>+'3.2.4'!G30</f>
        <v>0</v>
      </c>
      <c r="J24" s="247">
        <f t="shared" ref="J24:J32" si="31">SUM(E24:I24)</f>
        <v>0</v>
      </c>
      <c r="K24" s="247">
        <f t="shared" si="25"/>
        <v>0</v>
      </c>
      <c r="L24" s="247">
        <f t="shared" si="26"/>
        <v>0</v>
      </c>
      <c r="M24" s="247">
        <f t="shared" si="27"/>
        <v>0</v>
      </c>
      <c r="N24" s="247">
        <f t="shared" si="28"/>
        <v>0</v>
      </c>
      <c r="O24" s="247">
        <f t="shared" si="29"/>
        <v>0</v>
      </c>
      <c r="P24" s="247">
        <f t="shared" si="30"/>
        <v>0</v>
      </c>
    </row>
    <row r="25" spans="1:18" s="18" customFormat="1" ht="52.9" customHeight="1">
      <c r="A25" s="244" t="s">
        <v>624</v>
      </c>
      <c r="B25" s="245" t="s">
        <v>625</v>
      </c>
      <c r="C25" s="244" t="s">
        <v>621</v>
      </c>
      <c r="D25" s="404">
        <v>7.4250000000000007</v>
      </c>
      <c r="E25" s="247">
        <f>+'3.2.5'!G14</f>
        <v>0</v>
      </c>
      <c r="F25" s="247">
        <f>+'3.2.5'!G21</f>
        <v>0</v>
      </c>
      <c r="G25" s="247">
        <f>+'3.2.5'!G28</f>
        <v>0</v>
      </c>
      <c r="H25" s="247">
        <f>+'3.2.5'!G32</f>
        <v>0</v>
      </c>
      <c r="I25" s="247">
        <f>+'3.2.5'!G33</f>
        <v>0</v>
      </c>
      <c r="J25" s="247">
        <f t="shared" si="31"/>
        <v>0</v>
      </c>
      <c r="K25" s="247">
        <f t="shared" si="25"/>
        <v>0</v>
      </c>
      <c r="L25" s="247">
        <f t="shared" si="26"/>
        <v>0</v>
      </c>
      <c r="M25" s="247">
        <f t="shared" si="27"/>
        <v>0</v>
      </c>
      <c r="N25" s="247">
        <f t="shared" si="28"/>
        <v>0</v>
      </c>
      <c r="O25" s="247">
        <f t="shared" si="29"/>
        <v>0</v>
      </c>
      <c r="P25" s="247">
        <f t="shared" si="30"/>
        <v>0</v>
      </c>
    </row>
    <row r="26" spans="1:18" s="18" customFormat="1" ht="51.65" customHeight="1">
      <c r="A26" s="244" t="s">
        <v>626</v>
      </c>
      <c r="B26" s="245" t="s">
        <v>627</v>
      </c>
      <c r="C26" s="244" t="s">
        <v>621</v>
      </c>
      <c r="D26" s="404">
        <v>14.063855016469244</v>
      </c>
      <c r="E26" s="247">
        <f>+'3.2.6'!G14</f>
        <v>0</v>
      </c>
      <c r="F26" s="247">
        <f>+'3.2.6'!G21</f>
        <v>0</v>
      </c>
      <c r="G26" s="247">
        <f>+'3.2.6'!G28</f>
        <v>0</v>
      </c>
      <c r="H26" s="247">
        <f>+'3.2.6'!G32</f>
        <v>0</v>
      </c>
      <c r="I26" s="247">
        <f>+'3.2.6'!G33</f>
        <v>0</v>
      </c>
      <c r="J26" s="247">
        <f t="shared" si="31"/>
        <v>0</v>
      </c>
      <c r="K26" s="247">
        <f t="shared" si="25"/>
        <v>0</v>
      </c>
      <c r="L26" s="247">
        <f t="shared" si="26"/>
        <v>0</v>
      </c>
      <c r="M26" s="247">
        <f t="shared" si="27"/>
        <v>0</v>
      </c>
      <c r="N26" s="247">
        <f t="shared" si="28"/>
        <v>0</v>
      </c>
      <c r="O26" s="247">
        <f t="shared" si="29"/>
        <v>0</v>
      </c>
      <c r="P26" s="247">
        <f t="shared" si="30"/>
        <v>0</v>
      </c>
    </row>
    <row r="27" spans="1:18" s="18" customFormat="1" ht="19.899999999999999" customHeight="1">
      <c r="A27" s="244" t="s">
        <v>628</v>
      </c>
      <c r="B27" s="245" t="s">
        <v>629</v>
      </c>
      <c r="C27" s="244" t="s">
        <v>630</v>
      </c>
      <c r="D27" s="404">
        <v>985.20568000000014</v>
      </c>
      <c r="E27" s="247">
        <f>+'3.2.7'!G11</f>
        <v>0</v>
      </c>
      <c r="F27" s="247">
        <f>+'3.2.7'!G17</f>
        <v>0</v>
      </c>
      <c r="G27" s="247">
        <f>+'3.2.7'!G23</f>
        <v>0</v>
      </c>
      <c r="H27" s="247">
        <f>+'3.2.7'!G27</f>
        <v>0</v>
      </c>
      <c r="I27" s="247">
        <f>+'3.2.7'!G28</f>
        <v>0</v>
      </c>
      <c r="J27" s="247">
        <f t="shared" si="31"/>
        <v>0</v>
      </c>
      <c r="K27" s="247">
        <f t="shared" si="25"/>
        <v>0</v>
      </c>
      <c r="L27" s="247">
        <f t="shared" si="26"/>
        <v>0</v>
      </c>
      <c r="M27" s="247">
        <f t="shared" si="27"/>
        <v>0</v>
      </c>
      <c r="N27" s="247">
        <f t="shared" si="28"/>
        <v>0</v>
      </c>
      <c r="O27" s="247">
        <f t="shared" si="29"/>
        <v>0</v>
      </c>
      <c r="P27" s="247">
        <f t="shared" si="30"/>
        <v>0</v>
      </c>
    </row>
    <row r="28" spans="1:18" s="18" customFormat="1" ht="91.9" customHeight="1">
      <c r="A28" s="244" t="s">
        <v>631</v>
      </c>
      <c r="B28" s="245" t="s">
        <v>632</v>
      </c>
      <c r="C28" s="244" t="s">
        <v>618</v>
      </c>
      <c r="D28" s="404">
        <v>21.014399999999998</v>
      </c>
      <c r="E28" s="247">
        <f>+'3.2.8'!G17</f>
        <v>0</v>
      </c>
      <c r="F28" s="247">
        <f>+'3.2.8'!G23</f>
        <v>0</v>
      </c>
      <c r="G28" s="247">
        <f>+'3.2.8'!G29</f>
        <v>0</v>
      </c>
      <c r="H28" s="247">
        <f>+'3.2.8'!G33</f>
        <v>0</v>
      </c>
      <c r="I28" s="247">
        <f>+'3.2.8'!G34</f>
        <v>0</v>
      </c>
      <c r="J28" s="247">
        <f t="shared" si="31"/>
        <v>0</v>
      </c>
      <c r="K28" s="247">
        <f t="shared" si="25"/>
        <v>0</v>
      </c>
      <c r="L28" s="247">
        <f t="shared" si="26"/>
        <v>0</v>
      </c>
      <c r="M28" s="247">
        <f t="shared" si="27"/>
        <v>0</v>
      </c>
      <c r="N28" s="247">
        <f t="shared" si="28"/>
        <v>0</v>
      </c>
      <c r="O28" s="247">
        <f t="shared" si="29"/>
        <v>0</v>
      </c>
      <c r="P28" s="247">
        <f t="shared" si="30"/>
        <v>0</v>
      </c>
    </row>
    <row r="29" spans="1:18" s="18" customFormat="1" ht="70.150000000000006" customHeight="1">
      <c r="A29" s="244" t="s">
        <v>633</v>
      </c>
      <c r="B29" s="245" t="s">
        <v>634</v>
      </c>
      <c r="C29" s="244" t="s">
        <v>630</v>
      </c>
      <c r="D29" s="404">
        <v>604.98909279999998</v>
      </c>
      <c r="E29" s="247">
        <f>+'3.2.9'!G12</f>
        <v>0</v>
      </c>
      <c r="F29" s="247">
        <f>+'3.2.9'!G18</f>
        <v>0</v>
      </c>
      <c r="G29" s="247">
        <f>+'3.2.9'!G24</f>
        <v>0</v>
      </c>
      <c r="H29" s="247">
        <f>+'3.2.9'!G28</f>
        <v>0</v>
      </c>
      <c r="I29" s="247">
        <f>+'3.2.9'!G29</f>
        <v>0</v>
      </c>
      <c r="J29" s="247">
        <f t="shared" si="31"/>
        <v>0</v>
      </c>
      <c r="K29" s="247">
        <f t="shared" si="25"/>
        <v>0</v>
      </c>
      <c r="L29" s="247">
        <f t="shared" si="26"/>
        <v>0</v>
      </c>
      <c r="M29" s="247">
        <f t="shared" si="27"/>
        <v>0</v>
      </c>
      <c r="N29" s="247">
        <f t="shared" si="28"/>
        <v>0</v>
      </c>
      <c r="O29" s="247">
        <f t="shared" si="29"/>
        <v>0</v>
      </c>
      <c r="P29" s="247">
        <f t="shared" si="30"/>
        <v>0</v>
      </c>
    </row>
    <row r="30" spans="1:18" s="18" customFormat="1" ht="52.9" customHeight="1">
      <c r="A30" s="244" t="s">
        <v>635</v>
      </c>
      <c r="B30" s="245" t="s">
        <v>636</v>
      </c>
      <c r="C30" s="244" t="s">
        <v>637</v>
      </c>
      <c r="D30" s="404">
        <v>1</v>
      </c>
      <c r="E30" s="247">
        <f>+'3.2.10'!G18</f>
        <v>0</v>
      </c>
      <c r="F30" s="247">
        <f>+'3.2.10'!G24</f>
        <v>0</v>
      </c>
      <c r="G30" s="247">
        <f>+'3.2.10'!G30</f>
        <v>0</v>
      </c>
      <c r="H30" s="247">
        <f>+'3.2.10'!G34</f>
        <v>0</v>
      </c>
      <c r="I30" s="247">
        <f>+'3.2.10'!G35</f>
        <v>0</v>
      </c>
      <c r="J30" s="247">
        <f t="shared" si="31"/>
        <v>0</v>
      </c>
      <c r="K30" s="247">
        <f t="shared" si="25"/>
        <v>0</v>
      </c>
      <c r="L30" s="247">
        <f t="shared" si="26"/>
        <v>0</v>
      </c>
      <c r="M30" s="247">
        <f t="shared" si="27"/>
        <v>0</v>
      </c>
      <c r="N30" s="247">
        <f t="shared" si="28"/>
        <v>0</v>
      </c>
      <c r="O30" s="247">
        <f t="shared" si="29"/>
        <v>0</v>
      </c>
      <c r="P30" s="247">
        <f t="shared" si="30"/>
        <v>0</v>
      </c>
    </row>
    <row r="31" spans="1:18" s="18" customFormat="1" ht="114" customHeight="1">
      <c r="A31" s="244" t="s">
        <v>638</v>
      </c>
      <c r="B31" s="245" t="s">
        <v>639</v>
      </c>
      <c r="C31" s="244" t="s">
        <v>640</v>
      </c>
      <c r="D31" s="404">
        <v>6</v>
      </c>
      <c r="E31" s="247">
        <f>+'3.2.11'!G10</f>
        <v>0</v>
      </c>
      <c r="F31" s="247">
        <f>+'3.2.11'!G16</f>
        <v>0</v>
      </c>
      <c r="G31" s="247">
        <f>+'3.2.11'!G22</f>
        <v>0</v>
      </c>
      <c r="H31" s="247">
        <f>+'3.2.11'!G26</f>
        <v>0</v>
      </c>
      <c r="I31" s="247">
        <f>+'3.2.11'!G27</f>
        <v>0</v>
      </c>
      <c r="J31" s="247">
        <f t="shared" si="31"/>
        <v>0</v>
      </c>
      <c r="K31" s="247">
        <f t="shared" si="25"/>
        <v>0</v>
      </c>
      <c r="L31" s="247">
        <f t="shared" si="26"/>
        <v>0</v>
      </c>
      <c r="M31" s="247">
        <f t="shared" si="27"/>
        <v>0</v>
      </c>
      <c r="N31" s="247">
        <f t="shared" si="28"/>
        <v>0</v>
      </c>
      <c r="O31" s="247">
        <f t="shared" si="29"/>
        <v>0</v>
      </c>
      <c r="P31" s="247">
        <f t="shared" si="30"/>
        <v>0</v>
      </c>
    </row>
    <row r="32" spans="1:18" s="18" customFormat="1" ht="172.9" customHeight="1">
      <c r="A32" s="244" t="s">
        <v>641</v>
      </c>
      <c r="B32" s="405" t="s">
        <v>642</v>
      </c>
      <c r="C32" s="244" t="s">
        <v>536</v>
      </c>
      <c r="D32" s="404">
        <v>65.7</v>
      </c>
      <c r="E32" s="247">
        <f>+'3.2.12'!G23</f>
        <v>0</v>
      </c>
      <c r="F32" s="247">
        <f>+'3.2.12'!G29</f>
        <v>0</v>
      </c>
      <c r="G32" s="247">
        <f>+'3.2.12'!G35</f>
        <v>0</v>
      </c>
      <c r="H32" s="247">
        <f>+'3.2.12'!G39</f>
        <v>0</v>
      </c>
      <c r="I32" s="247">
        <f>+'3.2.12'!G40</f>
        <v>0</v>
      </c>
      <c r="J32" s="247">
        <f t="shared" si="31"/>
        <v>0</v>
      </c>
      <c r="K32" s="247">
        <f t="shared" si="25"/>
        <v>0</v>
      </c>
      <c r="L32" s="247">
        <f t="shared" si="26"/>
        <v>0</v>
      </c>
      <c r="M32" s="247">
        <f t="shared" si="27"/>
        <v>0</v>
      </c>
      <c r="N32" s="247">
        <f t="shared" si="28"/>
        <v>0</v>
      </c>
      <c r="O32" s="247">
        <f t="shared" si="29"/>
        <v>0</v>
      </c>
      <c r="P32" s="247">
        <f t="shared" si="30"/>
        <v>0</v>
      </c>
    </row>
    <row r="33" spans="1:16" s="18" customFormat="1" ht="13">
      <c r="A33" s="382" t="str">
        <f>+'PRES GENERAL MR'!A14</f>
        <v>3.3</v>
      </c>
      <c r="B33" s="406" t="str">
        <f>+'PRES GENERAL MR'!B14</f>
        <v>Sistema de control, medición y monitoreo</v>
      </c>
      <c r="C33" s="407"/>
      <c r="D33" s="408"/>
      <c r="E33" s="409"/>
      <c r="F33" s="409"/>
      <c r="G33" s="409"/>
      <c r="H33" s="409"/>
      <c r="I33" s="409"/>
      <c r="J33" s="409"/>
      <c r="K33" s="409"/>
      <c r="L33" s="409"/>
      <c r="M33" s="409"/>
      <c r="N33" s="409"/>
      <c r="O33" s="409"/>
      <c r="P33" s="410"/>
    </row>
    <row r="34" spans="1:16" s="18" customFormat="1" ht="47.5" customHeight="1">
      <c r="A34" s="244" t="s">
        <v>643</v>
      </c>
      <c r="B34" s="245" t="s">
        <v>644</v>
      </c>
      <c r="C34" s="244" t="s">
        <v>92</v>
      </c>
      <c r="D34" s="246">
        <v>1</v>
      </c>
      <c r="E34" s="247">
        <f>+'3.3.1'!G21</f>
        <v>0</v>
      </c>
      <c r="F34" s="247">
        <f>+'3.3.1'!G28</f>
        <v>0</v>
      </c>
      <c r="G34" s="247">
        <f>+'3.3.1'!G35</f>
        <v>0</v>
      </c>
      <c r="H34" s="247">
        <f>+'3.3.1'!G39</f>
        <v>0</v>
      </c>
      <c r="I34" s="247">
        <f>+'3.3.1'!G40</f>
        <v>0</v>
      </c>
      <c r="J34" s="247">
        <f t="shared" ref="J34" si="32">SUM(E34:I34)</f>
        <v>0</v>
      </c>
      <c r="K34" s="247">
        <f t="shared" ref="K34:O34" si="33">+$D34*E34</f>
        <v>0</v>
      </c>
      <c r="L34" s="247">
        <f t="shared" si="33"/>
        <v>0</v>
      </c>
      <c r="M34" s="247">
        <f t="shared" si="33"/>
        <v>0</v>
      </c>
      <c r="N34" s="247">
        <f t="shared" si="33"/>
        <v>0</v>
      </c>
      <c r="O34" s="247">
        <f t="shared" si="33"/>
        <v>0</v>
      </c>
      <c r="P34" s="247">
        <f t="shared" si="2"/>
        <v>0</v>
      </c>
    </row>
    <row r="35" spans="1:16" s="18" customFormat="1" ht="13">
      <c r="A35" s="382" t="str">
        <f>+'PRES GENERAL MR'!A15</f>
        <v>3.4</v>
      </c>
      <c r="B35" s="387" t="str">
        <f>+'PRES GENERAL MR'!B15</f>
        <v>Acometida y SPT domiciliario</v>
      </c>
      <c r="C35" s="384"/>
      <c r="D35" s="384"/>
      <c r="E35" s="384"/>
      <c r="F35" s="384"/>
      <c r="G35" s="384"/>
      <c r="H35" s="384"/>
      <c r="I35" s="384"/>
      <c r="J35" s="384"/>
      <c r="K35" s="384"/>
      <c r="L35" s="384"/>
      <c r="M35" s="384"/>
      <c r="N35" s="384"/>
      <c r="O35" s="384"/>
      <c r="P35" s="386"/>
    </row>
    <row r="36" spans="1:16" s="18" customFormat="1" ht="47.5" customHeight="1">
      <c r="A36" s="244" t="s">
        <v>645</v>
      </c>
      <c r="B36" s="245" t="s">
        <v>646</v>
      </c>
      <c r="C36" s="244" t="s">
        <v>92</v>
      </c>
      <c r="D36" s="246">
        <v>1</v>
      </c>
      <c r="E36" s="247">
        <f>+'3.4.1'!G19</f>
        <v>0</v>
      </c>
      <c r="F36" s="247">
        <f>+'3.4.1'!G26</f>
        <v>0</v>
      </c>
      <c r="G36" s="247">
        <f>+'3.4.1'!G33</f>
        <v>0</v>
      </c>
      <c r="H36" s="247">
        <f>+'3.4.1'!G37</f>
        <v>0</v>
      </c>
      <c r="I36" s="247">
        <f>+'3.4.1'!G38</f>
        <v>0</v>
      </c>
      <c r="J36" s="247">
        <f t="shared" ref="J36" si="34">SUM(E36:I36)</f>
        <v>0</v>
      </c>
      <c r="K36" s="247">
        <f t="shared" ref="K36" si="35">+$D36*E36</f>
        <v>0</v>
      </c>
      <c r="L36" s="247">
        <f t="shared" ref="L36" si="36">+$D36*F36</f>
        <v>0</v>
      </c>
      <c r="M36" s="247">
        <f t="shared" ref="M36" si="37">+$D36*G36</f>
        <v>0</v>
      </c>
      <c r="N36" s="247">
        <f t="shared" ref="N36" si="38">+$D36*H36</f>
        <v>0</v>
      </c>
      <c r="O36" s="247">
        <f t="shared" ref="O36" si="39">+$D36*I36</f>
        <v>0</v>
      </c>
      <c r="P36" s="247">
        <f t="shared" ref="P36" si="40">J36*D36</f>
        <v>0</v>
      </c>
    </row>
    <row r="37" spans="1:16" s="18" customFormat="1" ht="57.65" customHeight="1">
      <c r="A37" s="244" t="s">
        <v>647</v>
      </c>
      <c r="B37" s="245" t="s">
        <v>648</v>
      </c>
      <c r="C37" s="244" t="s">
        <v>92</v>
      </c>
      <c r="D37" s="246">
        <v>1</v>
      </c>
      <c r="E37" s="247">
        <f>+'3.4.2'!G14</f>
        <v>0</v>
      </c>
      <c r="F37" s="247">
        <f>+'3.4.2'!G21</f>
        <v>0</v>
      </c>
      <c r="G37" s="247">
        <f>+'3.4.2'!G28</f>
        <v>0</v>
      </c>
      <c r="H37" s="247">
        <f>+'3.4.2'!G32</f>
        <v>0</v>
      </c>
      <c r="I37" s="247">
        <f>+'3.4.2'!G33</f>
        <v>0</v>
      </c>
      <c r="J37" s="247">
        <f t="shared" ref="J37" si="41">SUM(E37:I37)</f>
        <v>0</v>
      </c>
      <c r="K37" s="247">
        <f t="shared" ref="K37" si="42">+$D37*E37</f>
        <v>0</v>
      </c>
      <c r="L37" s="247">
        <f t="shared" ref="L37" si="43">+$D37*F37</f>
        <v>0</v>
      </c>
      <c r="M37" s="247">
        <f t="shared" ref="M37" si="44">+$D37*G37</f>
        <v>0</v>
      </c>
      <c r="N37" s="247">
        <f t="shared" ref="N37" si="45">+$D37*H37</f>
        <v>0</v>
      </c>
      <c r="O37" s="247">
        <f t="shared" ref="O37" si="46">+$D37*I37</f>
        <v>0</v>
      </c>
      <c r="P37" s="247">
        <f t="shared" ref="P37" si="47">J37*D37</f>
        <v>0</v>
      </c>
    </row>
    <row r="38" spans="1:16" s="18" customFormat="1" ht="13">
      <c r="A38" s="382" t="str">
        <f>+'PRES GENERAL MR'!A16</f>
        <v>3.5</v>
      </c>
      <c r="B38" s="387" t="str">
        <f>+'PRES GENERAL MR'!B16</f>
        <v>Instalaciones Internas usuarios de Usuario de sistema centralizados solar fotovoltaico</v>
      </c>
      <c r="C38" s="384"/>
      <c r="D38" s="384"/>
      <c r="E38" s="384"/>
      <c r="F38" s="384"/>
      <c r="G38" s="384"/>
      <c r="H38" s="384"/>
      <c r="I38" s="384"/>
      <c r="J38" s="384"/>
      <c r="K38" s="384"/>
      <c r="L38" s="384"/>
      <c r="M38" s="384"/>
      <c r="N38" s="384"/>
      <c r="O38" s="384"/>
      <c r="P38" s="386"/>
    </row>
    <row r="39" spans="1:16" s="18" customFormat="1" ht="66" customHeight="1">
      <c r="A39" s="244" t="s">
        <v>649</v>
      </c>
      <c r="B39" s="245" t="s">
        <v>650</v>
      </c>
      <c r="C39" s="244" t="s">
        <v>92</v>
      </c>
      <c r="D39" s="246">
        <v>1</v>
      </c>
      <c r="E39" s="247">
        <f>+'3.5.1'!G25</f>
        <v>0</v>
      </c>
      <c r="F39" s="247">
        <f>+'3.5.1'!G32</f>
        <v>0</v>
      </c>
      <c r="G39" s="247">
        <f>+'3.5.1'!G39</f>
        <v>0</v>
      </c>
      <c r="H39" s="247">
        <f>+'3.5.1'!G43</f>
        <v>0</v>
      </c>
      <c r="I39" s="247">
        <f>+'3.5.1'!G44</f>
        <v>0</v>
      </c>
      <c r="J39" s="247">
        <f t="shared" ref="J39" si="48">SUM(E39:I39)</f>
        <v>0</v>
      </c>
      <c r="K39" s="247">
        <f t="shared" ref="K39" si="49">+$D39*E39</f>
        <v>0</v>
      </c>
      <c r="L39" s="247">
        <f t="shared" ref="L39" si="50">+$D39*F39</f>
        <v>0</v>
      </c>
      <c r="M39" s="247">
        <f t="shared" ref="M39" si="51">+$D39*G39</f>
        <v>0</v>
      </c>
      <c r="N39" s="247">
        <f t="shared" ref="N39" si="52">+$D39*H39</f>
        <v>0</v>
      </c>
      <c r="O39" s="247">
        <f t="shared" ref="O39" si="53">+$D39*I39</f>
        <v>0</v>
      </c>
      <c r="P39" s="247">
        <f t="shared" ref="P39" si="54">J39*D39</f>
        <v>0</v>
      </c>
    </row>
    <row r="40" spans="1:16" s="18" customFormat="1" ht="18" customHeight="1">
      <c r="A40" s="532" t="s">
        <v>545</v>
      </c>
      <c r="B40" s="533"/>
      <c r="C40" s="533"/>
      <c r="D40" s="533"/>
      <c r="E40" s="533"/>
      <c r="F40" s="533"/>
      <c r="G40" s="533"/>
      <c r="H40" s="533"/>
      <c r="I40" s="533"/>
      <c r="J40" s="534"/>
      <c r="K40" s="389">
        <f t="shared" ref="K40:P40" si="55">SUM(K6:K39)</f>
        <v>0</v>
      </c>
      <c r="L40" s="389">
        <f t="shared" si="55"/>
        <v>0</v>
      </c>
      <c r="M40" s="389">
        <f t="shared" si="55"/>
        <v>0</v>
      </c>
      <c r="N40" s="389">
        <f t="shared" si="55"/>
        <v>0</v>
      </c>
      <c r="O40" s="389">
        <f t="shared" si="55"/>
        <v>0</v>
      </c>
      <c r="P40" s="389">
        <f t="shared" si="55"/>
        <v>0</v>
      </c>
    </row>
    <row r="41" spans="1:16" ht="23.5" customHeight="1"/>
    <row r="42" spans="1:16" ht="23.5" customHeight="1"/>
    <row r="43" spans="1:16" ht="23.5" customHeight="1"/>
    <row r="44" spans="1:16" ht="33" customHeight="1"/>
    <row r="45" spans="1:16" ht="23.5" customHeight="1"/>
    <row r="50" spans="15:16" ht="13">
      <c r="O50" s="16" t="s">
        <v>561</v>
      </c>
      <c r="P50" s="402">
        <v>33263833</v>
      </c>
    </row>
    <row r="51" spans="15:16" ht="13">
      <c r="O51" s="16" t="s">
        <v>562</v>
      </c>
      <c r="P51" s="402">
        <v>41123528</v>
      </c>
    </row>
  </sheetData>
  <mergeCells count="9">
    <mergeCell ref="A40:J40"/>
    <mergeCell ref="A1:P1"/>
    <mergeCell ref="A2:P2"/>
    <mergeCell ref="A3:A4"/>
    <mergeCell ref="B3:B4"/>
    <mergeCell ref="C3:C4"/>
    <mergeCell ref="D3:D4"/>
    <mergeCell ref="E3:J3"/>
    <mergeCell ref="K3:P3"/>
  </mergeCells>
  <phoneticPr fontId="32" type="noConversion"/>
  <pageMargins left="0.82677165354330717" right="0.78740157480314965" top="0.55118110236220474" bottom="0.43307086614173229" header="0.31496062992125984" footer="0.31496062992125984"/>
  <pageSetup scale="37" fitToHeight="2" orientation="landscape"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C908-6E49-4180-882B-21CFE44B982E}">
  <sheetPr>
    <tabColor theme="4" tint="0.59999389629810485"/>
    <pageSetUpPr fitToPage="1"/>
  </sheetPr>
  <dimension ref="A1:R36"/>
  <sheetViews>
    <sheetView showGridLines="0" view="pageBreakPreview" zoomScale="80" zoomScaleNormal="120" zoomScaleSheetLayoutView="80" workbookViewId="0">
      <selection activeCell="A4" sqref="A4:A36"/>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7.81640625" style="29" customWidth="1"/>
    <col min="11" max="11" width="14.7265625" style="29" customWidth="1"/>
    <col min="12" max="12" width="26.81640625" style="29" customWidth="1"/>
    <col min="13" max="16384" width="11.453125" style="29"/>
  </cols>
  <sheetData>
    <row r="1" spans="1:11"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11" ht="12.75" customHeight="1">
      <c r="B3" s="30" t="s">
        <v>651</v>
      </c>
      <c r="C3" s="182" t="str">
        <f>+'PRES MR 5 KW'!A25</f>
        <v>3.2.5</v>
      </c>
      <c r="D3" s="31"/>
      <c r="E3" s="31"/>
      <c r="F3" s="31"/>
      <c r="G3" s="32" t="s">
        <v>652</v>
      </c>
    </row>
    <row r="4" spans="1:11" ht="61.9" customHeight="1">
      <c r="B4" s="649" t="str">
        <f>+'PRES MR 5 KW'!B25</f>
        <v>Concreto ciclópeo (60% concreto f'c=17 MPa , 40% piedra rajón) para apoyo de la cimentación del cuarto de equipos y almacenamiento RESPEL</v>
      </c>
      <c r="C4" s="655"/>
      <c r="D4" s="655"/>
      <c r="E4" s="656"/>
      <c r="G4" s="33" t="str">
        <f>+'PRES MR 5 KW'!C25</f>
        <v>m3</v>
      </c>
    </row>
    <row r="5" spans="1:11" ht="13">
      <c r="B5" s="34"/>
      <c r="G5" s="35"/>
    </row>
    <row r="6" spans="1:11" ht="13">
      <c r="B6" s="36" t="s">
        <v>653</v>
      </c>
    </row>
    <row r="7" spans="1:11" ht="13">
      <c r="A7" s="88" t="s">
        <v>138</v>
      </c>
      <c r="B7" s="37" t="s">
        <v>19</v>
      </c>
      <c r="C7" s="38" t="s">
        <v>284</v>
      </c>
      <c r="D7" s="38" t="s">
        <v>48</v>
      </c>
      <c r="E7" s="38" t="s">
        <v>410</v>
      </c>
      <c r="F7" s="38" t="s">
        <v>285</v>
      </c>
      <c r="G7" s="38" t="s">
        <v>286</v>
      </c>
    </row>
    <row r="8" spans="1:11" ht="25">
      <c r="A8" s="89">
        <v>91</v>
      </c>
      <c r="B8" s="69" t="str">
        <f>VLOOKUP(A8,Materiales3[],3,FALSE)</f>
        <v>Agregado fino para concreto (tamaño máximo 4,75mm - arena natural o trituración de roca, gravas, y/o escorias)</v>
      </c>
      <c r="C8" s="40" t="str">
        <f>VLOOKUP(A8,Materiales3[],4,FALSE)</f>
        <v>m3</v>
      </c>
      <c r="D8" s="192">
        <f>+K10*60%</f>
        <v>0.28799999999999998</v>
      </c>
      <c r="E8" s="40">
        <f>VLOOKUP(A8,Materiales3[],5,FALSE)*D8</f>
        <v>460.79999999999995</v>
      </c>
      <c r="F8" s="42">
        <f>VLOOKUP(A8,Materiales3[],6,FALSE)</f>
        <v>0</v>
      </c>
      <c r="G8" s="42">
        <f t="shared" ref="G8:G13" si="0">D8*F8</f>
        <v>0</v>
      </c>
      <c r="J8" s="660" t="s">
        <v>443</v>
      </c>
      <c r="K8" s="661"/>
    </row>
    <row r="9" spans="1:11" ht="25">
      <c r="A9" s="89">
        <v>90</v>
      </c>
      <c r="B9" s="69" t="str">
        <f>VLOOKUP(A9,Materiales3[],3,FALSE)</f>
        <v>Agregado grueso (grava, grava triturada y/o roca triturada)</v>
      </c>
      <c r="C9" s="40" t="str">
        <f>VLOOKUP(A9,Materiales3[],4,FALSE)</f>
        <v>m3</v>
      </c>
      <c r="D9" s="192">
        <f t="shared" ref="D9:D10" si="1">+K11*60%</f>
        <v>0.56999999999999995</v>
      </c>
      <c r="E9" s="40">
        <f>VLOOKUP(A9,Materiales3[],5,FALSE)*D9</f>
        <v>911.99999999999989</v>
      </c>
      <c r="F9" s="42">
        <f>VLOOKUP(A9,Materiales3[],6,FALSE)</f>
        <v>0</v>
      </c>
      <c r="G9" s="42">
        <f t="shared" si="0"/>
        <v>0</v>
      </c>
      <c r="J9" s="187" t="s">
        <v>400</v>
      </c>
      <c r="K9" s="188">
        <v>300</v>
      </c>
    </row>
    <row r="10" spans="1:11" ht="14.5">
      <c r="A10" s="89">
        <v>89</v>
      </c>
      <c r="B10" s="69" t="str">
        <f>VLOOKUP(A10,Materiales3[],3,FALSE)</f>
        <v>Agua</v>
      </c>
      <c r="C10" s="40" t="str">
        <f>VLOOKUP(A10,Materiales3[],4,FALSE)</f>
        <v>L</v>
      </c>
      <c r="D10" s="192">
        <f t="shared" si="1"/>
        <v>102</v>
      </c>
      <c r="E10" s="40">
        <f>VLOOKUP(A10,Materiales3[],5,FALSE)*D10</f>
        <v>102</v>
      </c>
      <c r="F10" s="42">
        <f>VLOOKUP(A10,Materiales3[],6,FALSE)</f>
        <v>0</v>
      </c>
      <c r="G10" s="42">
        <f t="shared" si="0"/>
        <v>0</v>
      </c>
      <c r="J10" s="187" t="s">
        <v>402</v>
      </c>
      <c r="K10" s="188">
        <v>0.48</v>
      </c>
    </row>
    <row r="11" spans="1:11" ht="14.5">
      <c r="A11" s="89">
        <v>92</v>
      </c>
      <c r="B11" s="69" t="str">
        <f>VLOOKUP(A11,Materiales3[],3,FALSE)</f>
        <v>Cemento hidráulico tipo ART</v>
      </c>
      <c r="C11" s="40" t="str">
        <f>VLOOKUP(A11,Materiales3[],4,FALSE)</f>
        <v>kg</v>
      </c>
      <c r="D11" s="192">
        <f>K9*60%</f>
        <v>180</v>
      </c>
      <c r="E11" s="40">
        <f>VLOOKUP(A11,Materiales3[],5,FALSE)*D11</f>
        <v>180</v>
      </c>
      <c r="F11" s="42">
        <f>VLOOKUP(A11,Materiales3[],6,FALSE)</f>
        <v>0</v>
      </c>
      <c r="G11" s="42">
        <f t="shared" si="0"/>
        <v>0</v>
      </c>
      <c r="J11" s="187" t="s">
        <v>403</v>
      </c>
      <c r="K11" s="188">
        <v>0.95</v>
      </c>
    </row>
    <row r="12" spans="1:11" ht="14.5">
      <c r="A12" s="89">
        <v>95</v>
      </c>
      <c r="B12" s="69" t="str">
        <f>VLOOKUP(A12,Materiales3[],3,FALSE)</f>
        <v>Piedra rajón</v>
      </c>
      <c r="C12" s="40" t="str">
        <f>VLOOKUP(A12,Materiales3[],4,FALSE)</f>
        <v>m3</v>
      </c>
      <c r="D12" s="192">
        <v>0.4</v>
      </c>
      <c r="E12" s="40">
        <f>VLOOKUP(A12,Materiales3[],5,FALSE)*D12</f>
        <v>720</v>
      </c>
      <c r="F12" s="42">
        <f>VLOOKUP(A12,Materiales3[],6,FALSE)</f>
        <v>0</v>
      </c>
      <c r="G12" s="42">
        <f t="shared" ref="G12" si="2">D12*F12</f>
        <v>0</v>
      </c>
      <c r="J12" s="189" t="s">
        <v>404</v>
      </c>
      <c r="K12" s="190">
        <v>170</v>
      </c>
    </row>
    <row r="13" spans="1:11" ht="14.5">
      <c r="A13" s="89"/>
      <c r="B13" s="69" t="s">
        <v>669</v>
      </c>
      <c r="C13" s="40"/>
      <c r="D13" s="40">
        <v>0.05</v>
      </c>
      <c r="E13" s="40">
        <f>+(E8+E9+E10+E11+E12)*D13</f>
        <v>118.74</v>
      </c>
      <c r="F13" s="42">
        <f>+(G8+G9+G10+G11)</f>
        <v>0</v>
      </c>
      <c r="G13" s="42">
        <f t="shared" si="0"/>
        <v>0</v>
      </c>
    </row>
    <row r="14" spans="1:11" ht="13">
      <c r="D14" s="47"/>
      <c r="E14" s="47"/>
      <c r="F14" s="48" t="s">
        <v>654</v>
      </c>
      <c r="G14" s="49">
        <f>SUM(G8:G13)</f>
        <v>0</v>
      </c>
    </row>
    <row r="15" spans="1:11">
      <c r="G15" s="73"/>
    </row>
    <row r="16" spans="1:11" ht="13">
      <c r="B16" s="50" t="s">
        <v>655</v>
      </c>
      <c r="G16" s="74"/>
    </row>
    <row r="17" spans="1:18" ht="13">
      <c r="A17" s="88" t="s">
        <v>138</v>
      </c>
      <c r="B17" s="37" t="s">
        <v>19</v>
      </c>
      <c r="C17" s="38" t="s">
        <v>665</v>
      </c>
      <c r="D17" s="38" t="s">
        <v>656</v>
      </c>
      <c r="E17" s="38"/>
      <c r="F17" s="38" t="s">
        <v>21</v>
      </c>
      <c r="G17" s="38" t="s">
        <v>286</v>
      </c>
    </row>
    <row r="18" spans="1:18" ht="14.5">
      <c r="A18" s="89">
        <v>1</v>
      </c>
      <c r="B18" s="43" t="str">
        <f>VLOOKUP(A18,Equipoyherramienta[],2,FALSE)</f>
        <v>Herramienta menor</v>
      </c>
      <c r="C18" s="44" t="str">
        <f>VLOOKUP(A18,Equipoyherramienta[],3,FALSE)</f>
        <v>UN</v>
      </c>
      <c r="D18" s="51">
        <f>VLOOKUP(A18,Equipoyherramienta[],4,FALSE)</f>
        <v>0</v>
      </c>
      <c r="E18" s="51"/>
      <c r="F18" s="71">
        <f>+RENDIMIENTOS!C54</f>
        <v>8</v>
      </c>
      <c r="G18" s="51">
        <f>ROUND(D18/F18,0)</f>
        <v>0</v>
      </c>
    </row>
    <row r="19" spans="1:18" ht="14.5">
      <c r="A19" s="89">
        <v>8</v>
      </c>
      <c r="B19" s="43" t="str">
        <f>VLOOKUP(A19,Equipoyherramienta[],2,FALSE)</f>
        <v xml:space="preserve">Mezcladora de concreto tipo trompo						</v>
      </c>
      <c r="C19" s="44" t="str">
        <f>VLOOKUP(A19,Equipoyherramienta[],3,FALSE)</f>
        <v>HORA</v>
      </c>
      <c r="D19" s="51">
        <f>VLOOKUP(A19,Equipoyherramienta[],4,FALSE)</f>
        <v>0</v>
      </c>
      <c r="E19" s="51"/>
      <c r="F19" s="71">
        <f>+RENDIMIENTOS!C55/8</f>
        <v>1</v>
      </c>
      <c r="G19" s="51">
        <f>ROUND(D19/F19,0)</f>
        <v>0</v>
      </c>
    </row>
    <row r="20" spans="1:18">
      <c r="B20" s="43"/>
      <c r="C20" s="44"/>
      <c r="D20" s="46"/>
      <c r="E20" s="46"/>
      <c r="F20" s="52"/>
      <c r="G20" s="53"/>
    </row>
    <row r="21" spans="1:18" ht="13">
      <c r="D21" s="47"/>
      <c r="E21" s="47"/>
      <c r="F21" s="48" t="s">
        <v>654</v>
      </c>
      <c r="G21" s="49">
        <f>SUM(G18:G20)</f>
        <v>0</v>
      </c>
    </row>
    <row r="22" spans="1:18" ht="13">
      <c r="D22" s="47"/>
      <c r="E22" s="47"/>
      <c r="F22" s="47"/>
      <c r="G22" s="54"/>
    </row>
    <row r="23" spans="1:18" ht="13">
      <c r="B23" s="36" t="s">
        <v>657</v>
      </c>
      <c r="G23" s="55"/>
    </row>
    <row r="24" spans="1:18" ht="13">
      <c r="A24" s="88" t="s">
        <v>138</v>
      </c>
      <c r="B24" s="37" t="s">
        <v>19</v>
      </c>
      <c r="C24" s="38" t="s">
        <v>284</v>
      </c>
      <c r="D24" s="38" t="s">
        <v>410</v>
      </c>
      <c r="E24" s="38"/>
      <c r="F24" s="38" t="s">
        <v>666</v>
      </c>
      <c r="G24" s="56" t="s">
        <v>286</v>
      </c>
    </row>
    <row r="25" spans="1:18"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(E10+E11)*1.05</f>
        <v>296.10000000000002</v>
      </c>
      <c r="E25" s="41"/>
      <c r="F25" s="59">
        <f>VLOOKUP(A25,Transp.[],6,FALSE)</f>
        <v>0</v>
      </c>
      <c r="G25" s="59">
        <f>D25*F25</f>
        <v>0</v>
      </c>
    </row>
    <row r="26" spans="1:18" ht="14.5">
      <c r="A26" s="89">
        <v>7</v>
      </c>
      <c r="B26" s="57" t="str">
        <f>VLOOKUP(A26,Transp.[],2,FALSE)</f>
        <v xml:space="preserve">Carga Material Cantera hasta Veredas </v>
      </c>
      <c r="C26" s="40" t="s">
        <v>667</v>
      </c>
      <c r="D26" s="41">
        <f>+SUM(E8:E9,E12)*1.05</f>
        <v>2197.4399999999996</v>
      </c>
      <c r="E26" s="41"/>
      <c r="F26" s="59">
        <f>VLOOKUP(A26,Transp.[],6,FALSE)</f>
        <v>0</v>
      </c>
      <c r="G26" s="59">
        <f>D26*F26</f>
        <v>0</v>
      </c>
    </row>
    <row r="27" spans="1:18" ht="13.15" customHeight="1">
      <c r="A27" s="89"/>
      <c r="B27" s="57"/>
      <c r="C27" s="40"/>
      <c r="D27" s="41"/>
      <c r="E27" s="41"/>
      <c r="F27" s="59"/>
      <c r="G27" s="59"/>
    </row>
    <row r="28" spans="1:18" ht="13">
      <c r="D28" s="47"/>
      <c r="E28" s="47"/>
      <c r="F28" s="61" t="s">
        <v>654</v>
      </c>
      <c r="G28" s="49">
        <f>SUM(G25:G27)</f>
        <v>0</v>
      </c>
    </row>
    <row r="29" spans="1:18"/>
    <row r="30" spans="1:18" ht="13">
      <c r="B30" s="36" t="s">
        <v>661</v>
      </c>
      <c r="D30" s="62"/>
      <c r="E30" s="62"/>
      <c r="F30" s="63"/>
      <c r="G30" s="55"/>
    </row>
    <row r="31" spans="1:18" s="47" customFormat="1" ht="13">
      <c r="A31" s="88" t="s">
        <v>138</v>
      </c>
      <c r="B31" s="38" t="s">
        <v>19</v>
      </c>
      <c r="C31" s="38" t="s">
        <v>662</v>
      </c>
      <c r="D31" s="38" t="s">
        <v>663</v>
      </c>
      <c r="E31" s="38"/>
      <c r="F31" s="38" t="s">
        <v>21</v>
      </c>
      <c r="G31" s="56" t="s">
        <v>286</v>
      </c>
      <c r="J31" s="29"/>
      <c r="K31" s="29"/>
      <c r="L31" s="29"/>
      <c r="M31" s="29"/>
      <c r="N31" s="29"/>
      <c r="O31" s="29"/>
      <c r="P31" s="29"/>
      <c r="Q31" s="29"/>
      <c r="R31" s="29"/>
    </row>
    <row r="32" spans="1:18" ht="14.5">
      <c r="A32" s="89">
        <v>4</v>
      </c>
      <c r="B32" s="64" t="str">
        <f>VLOOKUP(A32,ManoObra[],2,FALSE)</f>
        <v>Oficial de obra</v>
      </c>
      <c r="C32" s="65">
        <f>VLOOKUP(A32,ManoObra[],8,FALSE)</f>
        <v>0</v>
      </c>
      <c r="D32" s="52">
        <f>+FP!E27</f>
        <v>0</v>
      </c>
      <c r="E32" s="52"/>
      <c r="F32" s="71">
        <f>F18</f>
        <v>8</v>
      </c>
      <c r="G32" s="51">
        <f>ROUND(C32*D32/F32,0)</f>
        <v>0</v>
      </c>
    </row>
    <row r="33" spans="1:7" ht="14.5">
      <c r="A33" s="89">
        <v>2</v>
      </c>
      <c r="B33" s="64" t="str">
        <f>VLOOKUP(A33,ManoObra[],2,FALSE)</f>
        <v>Ayudante</v>
      </c>
      <c r="C33" s="65">
        <f>VLOOKUP(A33,ManoObra[],8,FALSE)</f>
        <v>0</v>
      </c>
      <c r="D33" s="52">
        <f>+FP!E27</f>
        <v>0</v>
      </c>
      <c r="E33" s="52"/>
      <c r="F33" s="71">
        <f>+F32/4</f>
        <v>2</v>
      </c>
      <c r="G33" s="51">
        <f>ROUND(C33*D33/F33,0)</f>
        <v>0</v>
      </c>
    </row>
    <row r="34" spans="1:7" ht="13">
      <c r="D34" s="47"/>
      <c r="E34" s="47"/>
      <c r="F34" s="61" t="s">
        <v>654</v>
      </c>
      <c r="G34" s="75">
        <f>SUM(G32:G33)</f>
        <v>0</v>
      </c>
    </row>
    <row r="35" spans="1:7" ht="13">
      <c r="D35" s="47"/>
      <c r="E35" s="47"/>
      <c r="G35" s="55"/>
    </row>
    <row r="36" spans="1:7" ht="12.75" customHeight="1">
      <c r="B36" s="47"/>
      <c r="D36" s="652" t="s">
        <v>664</v>
      </c>
      <c r="E36" s="654"/>
      <c r="F36" s="653"/>
      <c r="G36" s="66">
        <f>G14+G21+G28+G34</f>
        <v>0</v>
      </c>
    </row>
  </sheetData>
  <mergeCells count="4">
    <mergeCell ref="B1:G1"/>
    <mergeCell ref="B4:E4"/>
    <mergeCell ref="D36:F36"/>
    <mergeCell ref="J8:K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8122-2579-4598-BE07-6FBE89604181}">
  <sheetPr>
    <tabColor theme="4" tint="0.59999389629810485"/>
    <pageSetUpPr fitToPage="1"/>
  </sheetPr>
  <dimension ref="A1:R36"/>
  <sheetViews>
    <sheetView showGridLines="0" view="pageBreakPreview" zoomScale="80" zoomScaleNormal="120" zoomScaleSheetLayoutView="80" workbookViewId="0">
      <selection activeCell="A4" sqref="A4:A36"/>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7.81640625" style="29" customWidth="1"/>
    <col min="11" max="11" width="14.7265625" style="29" customWidth="1"/>
    <col min="12" max="12" width="26.81640625" style="29" customWidth="1"/>
    <col min="13" max="16384" width="11.453125" style="29"/>
  </cols>
  <sheetData>
    <row r="1" spans="1:11"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11" ht="12.75" customHeight="1">
      <c r="B3" s="30" t="s">
        <v>651</v>
      </c>
      <c r="C3" s="182" t="str">
        <f>+'PRES MR 5 KW'!A26</f>
        <v>3.2.6</v>
      </c>
      <c r="D3" s="31"/>
      <c r="E3" s="31"/>
      <c r="F3" s="31"/>
      <c r="G3" s="32" t="s">
        <v>652</v>
      </c>
    </row>
    <row r="4" spans="1:11" ht="61.9" customHeight="1">
      <c r="B4" s="649" t="str">
        <f>+'PRES MR 5 KW'!B26</f>
        <v>Concreto simple impermeabilizado f'c=21MPa - Mezcla in situ  para cimentaciones y placa del cuarto de equipos y almacenamiento RESPEL y de la estructura para soporte de paneles.</v>
      </c>
      <c r="C4" s="655"/>
      <c r="D4" s="655"/>
      <c r="E4" s="656"/>
      <c r="G4" s="33" t="str">
        <f>+'PRES MR 5 KW'!C26</f>
        <v>m3</v>
      </c>
    </row>
    <row r="5" spans="1:11" ht="13">
      <c r="B5" s="34"/>
      <c r="G5" s="35"/>
    </row>
    <row r="6" spans="1:11" ht="13">
      <c r="B6" s="36" t="s">
        <v>653</v>
      </c>
    </row>
    <row r="7" spans="1:11" ht="13">
      <c r="A7" s="88" t="s">
        <v>138</v>
      </c>
      <c r="B7" s="37" t="s">
        <v>19</v>
      </c>
      <c r="C7" s="38" t="s">
        <v>284</v>
      </c>
      <c r="D7" s="38" t="s">
        <v>48</v>
      </c>
      <c r="E7" s="38" t="s">
        <v>410</v>
      </c>
      <c r="F7" s="38" t="s">
        <v>285</v>
      </c>
      <c r="G7" s="38" t="s">
        <v>286</v>
      </c>
    </row>
    <row r="8" spans="1:11" ht="25">
      <c r="A8" s="89">
        <v>91</v>
      </c>
      <c r="B8" s="69" t="str">
        <f>VLOOKUP(A8,Materiales3[],3,FALSE)</f>
        <v>Agregado fino para concreto (tamaño máximo 4,75mm - arena natural o trituración de roca, gravas, y/o escorias)</v>
      </c>
      <c r="C8" s="40" t="str">
        <f>VLOOKUP(A8,Materiales3[],4,FALSE)</f>
        <v>m3</v>
      </c>
      <c r="D8" s="192">
        <f>+K10</f>
        <v>0.56000000000000005</v>
      </c>
      <c r="E8" s="40">
        <f>VLOOKUP(A8,Materiales3[],5,FALSE)*D8</f>
        <v>896.00000000000011</v>
      </c>
      <c r="F8" s="42">
        <f>VLOOKUP(A8,Materiales3[],6,FALSE)</f>
        <v>0</v>
      </c>
      <c r="G8" s="42">
        <f t="shared" ref="G8:G13" si="0">D8*F8</f>
        <v>0</v>
      </c>
      <c r="J8" s="660" t="s">
        <v>407</v>
      </c>
      <c r="K8" s="661"/>
    </row>
    <row r="9" spans="1:11" ht="25">
      <c r="A9" s="89">
        <v>90</v>
      </c>
      <c r="B9" s="69" t="str">
        <f>VLOOKUP(A9,Materiales3[],3,FALSE)</f>
        <v>Agregado grueso (grava, grava triturada y/o roca triturada)</v>
      </c>
      <c r="C9" s="40" t="str">
        <f>VLOOKUP(A9,Materiales3[],4,FALSE)</f>
        <v>m3</v>
      </c>
      <c r="D9" s="192">
        <f>+K11</f>
        <v>0.84</v>
      </c>
      <c r="E9" s="40">
        <f>VLOOKUP(A9,Materiales3[],5,FALSE)*D9</f>
        <v>1344</v>
      </c>
      <c r="F9" s="42">
        <f>VLOOKUP(A9,Materiales3[],6,FALSE)</f>
        <v>0</v>
      </c>
      <c r="G9" s="42">
        <f t="shared" si="0"/>
        <v>0</v>
      </c>
      <c r="J9" s="187" t="s">
        <v>400</v>
      </c>
      <c r="K9" s="188">
        <v>350</v>
      </c>
    </row>
    <row r="10" spans="1:11" ht="14.5">
      <c r="A10" s="89">
        <v>89</v>
      </c>
      <c r="B10" s="69" t="str">
        <f>VLOOKUP(A10,Materiales3[],3,FALSE)</f>
        <v>Agua</v>
      </c>
      <c r="C10" s="40" t="str">
        <f>VLOOKUP(A10,Materiales3[],4,FALSE)</f>
        <v>L</v>
      </c>
      <c r="D10" s="192">
        <f>+K12</f>
        <v>250</v>
      </c>
      <c r="E10" s="40">
        <f>VLOOKUP(A10,Materiales3[],5,FALSE)*D10</f>
        <v>250</v>
      </c>
      <c r="F10" s="42">
        <f>VLOOKUP(A10,Materiales3[],6,FALSE)</f>
        <v>0</v>
      </c>
      <c r="G10" s="42">
        <f t="shared" si="0"/>
        <v>0</v>
      </c>
      <c r="J10" s="187" t="s">
        <v>402</v>
      </c>
      <c r="K10" s="188">
        <v>0.56000000000000005</v>
      </c>
    </row>
    <row r="11" spans="1:11" ht="14.5">
      <c r="A11" s="89">
        <v>92</v>
      </c>
      <c r="B11" s="69" t="str">
        <f>VLOOKUP(A11,Materiales3[],3,FALSE)</f>
        <v>Cemento hidráulico tipo ART</v>
      </c>
      <c r="C11" s="40" t="str">
        <f>VLOOKUP(A11,Materiales3[],4,FALSE)</f>
        <v>kg</v>
      </c>
      <c r="D11" s="192">
        <f>K9</f>
        <v>350</v>
      </c>
      <c r="E11" s="40">
        <f>VLOOKUP(A11,Materiales3[],5,FALSE)*D11</f>
        <v>350</v>
      </c>
      <c r="F11" s="42">
        <f>VLOOKUP(A11,Materiales3[],6,FALSE)</f>
        <v>0</v>
      </c>
      <c r="G11" s="42">
        <f t="shared" si="0"/>
        <v>0</v>
      </c>
      <c r="J11" s="187" t="s">
        <v>403</v>
      </c>
      <c r="K11" s="188">
        <v>0.84</v>
      </c>
    </row>
    <row r="12" spans="1:11" ht="14.5">
      <c r="A12" s="89">
        <v>96</v>
      </c>
      <c r="B12" s="69" t="str">
        <f>VLOOKUP(A12,Materiales3[],3,FALSE)</f>
        <v>Impermeabilizante para concreto</v>
      </c>
      <c r="C12" s="40" t="str">
        <f>VLOOKUP(A12,Materiales3[],4,FALSE)</f>
        <v>kg</v>
      </c>
      <c r="D12" s="192">
        <v>2</v>
      </c>
      <c r="E12" s="40">
        <f>VLOOKUP(A12,Materiales3[],5,FALSE)*D12</f>
        <v>2</v>
      </c>
      <c r="F12" s="42">
        <f>VLOOKUP(A12,Materiales3[],6,FALSE)</f>
        <v>0</v>
      </c>
      <c r="G12" s="42">
        <f t="shared" si="0"/>
        <v>0</v>
      </c>
      <c r="J12" s="189" t="s">
        <v>404</v>
      </c>
      <c r="K12" s="190">
        <v>250</v>
      </c>
    </row>
    <row r="13" spans="1:11" ht="14.5">
      <c r="A13" s="89"/>
      <c r="B13" s="69" t="s">
        <v>669</v>
      </c>
      <c r="C13" s="40"/>
      <c r="D13" s="40">
        <v>0.05</v>
      </c>
      <c r="E13" s="40">
        <f>+(E8+E9+E10+E11+E12)*D13</f>
        <v>142.1</v>
      </c>
      <c r="F13" s="42">
        <f>+(G8+G9+G10+G11)</f>
        <v>0</v>
      </c>
      <c r="G13" s="42">
        <f t="shared" si="0"/>
        <v>0</v>
      </c>
    </row>
    <row r="14" spans="1:11" ht="13">
      <c r="D14" s="47"/>
      <c r="E14" s="47"/>
      <c r="F14" s="48" t="s">
        <v>654</v>
      </c>
      <c r="G14" s="49">
        <f>SUM(G8:G13)</f>
        <v>0</v>
      </c>
    </row>
    <row r="15" spans="1:11">
      <c r="G15" s="73"/>
    </row>
    <row r="16" spans="1:11" ht="13">
      <c r="B16" s="50" t="s">
        <v>655</v>
      </c>
      <c r="G16" s="74"/>
    </row>
    <row r="17" spans="1:18" ht="13">
      <c r="A17" s="88" t="s">
        <v>138</v>
      </c>
      <c r="B17" s="37" t="s">
        <v>19</v>
      </c>
      <c r="C17" s="38" t="s">
        <v>665</v>
      </c>
      <c r="D17" s="38" t="s">
        <v>656</v>
      </c>
      <c r="E17" s="38"/>
      <c r="F17" s="38" t="s">
        <v>21</v>
      </c>
      <c r="G17" s="38" t="s">
        <v>286</v>
      </c>
    </row>
    <row r="18" spans="1:18" ht="14.5">
      <c r="A18" s="89">
        <v>1</v>
      </c>
      <c r="B18" s="43" t="str">
        <f>VLOOKUP(A18,Equipoyherramienta[],2,FALSE)</f>
        <v>Herramienta menor</v>
      </c>
      <c r="C18" s="44" t="str">
        <f>VLOOKUP(A18,Equipoyherramienta[],3,FALSE)</f>
        <v>UN</v>
      </c>
      <c r="D18" s="51">
        <f>VLOOKUP(A18,Equipoyherramienta[],4,FALSE)</f>
        <v>0</v>
      </c>
      <c r="E18" s="51"/>
      <c r="F18" s="71">
        <f>+RENDIMIENTOS!C55</f>
        <v>8</v>
      </c>
      <c r="G18" s="51">
        <f>ROUND(D18/F18,0)</f>
        <v>0</v>
      </c>
    </row>
    <row r="19" spans="1:18" ht="14.5">
      <c r="A19" s="89">
        <v>8</v>
      </c>
      <c r="B19" s="43" t="str">
        <f>VLOOKUP(A19,Equipoyherramienta[],2,FALSE)</f>
        <v xml:space="preserve">Mezcladora de concreto tipo trompo						</v>
      </c>
      <c r="C19" s="44" t="str">
        <f>VLOOKUP(A19,Equipoyherramienta[],3,FALSE)</f>
        <v>HORA</v>
      </c>
      <c r="D19" s="51">
        <f>VLOOKUP(A19,Equipoyherramienta[],4,FALSE)</f>
        <v>0</v>
      </c>
      <c r="E19" s="51"/>
      <c r="F19" s="71">
        <f>+RENDIMIENTOS!C55/8</f>
        <v>1</v>
      </c>
      <c r="G19" s="51">
        <f>ROUND(D19/F19,0)</f>
        <v>0</v>
      </c>
    </row>
    <row r="20" spans="1:18" ht="14.5">
      <c r="A20" s="89">
        <v>9</v>
      </c>
      <c r="B20" s="43" t="str">
        <f>VLOOKUP(A20,Equipoyherramienta[],2,FALSE)</f>
        <v>Vibrador de concreto, potencia aproximada de 3 hp, mangueras de 4 a 6 metros</v>
      </c>
      <c r="C20" s="44" t="str">
        <f>VLOOKUP(A20,Equipoyherramienta[],3,FALSE)</f>
        <v>HORA</v>
      </c>
      <c r="D20" s="51">
        <f>VLOOKUP(A20,Equipoyherramienta[],4,FALSE)</f>
        <v>0</v>
      </c>
      <c r="E20" s="51"/>
      <c r="F20" s="71">
        <f>+RENDIMIENTOS!C55/8</f>
        <v>1</v>
      </c>
      <c r="G20" s="51">
        <f>ROUND(D20/F20,0)</f>
        <v>0</v>
      </c>
    </row>
    <row r="21" spans="1:18" ht="13">
      <c r="D21" s="47"/>
      <c r="E21" s="47"/>
      <c r="F21" s="48" t="s">
        <v>654</v>
      </c>
      <c r="G21" s="49">
        <f>SUM(G18:G20)</f>
        <v>0</v>
      </c>
    </row>
    <row r="22" spans="1:18" ht="13">
      <c r="D22" s="47"/>
      <c r="E22" s="47"/>
      <c r="F22" s="47"/>
      <c r="G22" s="54"/>
    </row>
    <row r="23" spans="1:18" ht="13">
      <c r="B23" s="36" t="s">
        <v>657</v>
      </c>
      <c r="G23" s="55"/>
    </row>
    <row r="24" spans="1:18" ht="13">
      <c r="A24" s="88" t="s">
        <v>138</v>
      </c>
      <c r="B24" s="37" t="s">
        <v>19</v>
      </c>
      <c r="C24" s="38" t="s">
        <v>284</v>
      </c>
      <c r="D24" s="38" t="s">
        <v>410</v>
      </c>
      <c r="E24" s="38"/>
      <c r="F24" s="38" t="s">
        <v>666</v>
      </c>
      <c r="G24" s="56" t="s">
        <v>286</v>
      </c>
    </row>
    <row r="25" spans="1:18"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(E10+E11)*1.05</f>
        <v>630</v>
      </c>
      <c r="E25" s="41"/>
      <c r="F25" s="59">
        <f>VLOOKUP(A25,Transp.[],6,FALSE)</f>
        <v>0</v>
      </c>
      <c r="G25" s="59">
        <f>D25*F25</f>
        <v>0</v>
      </c>
    </row>
    <row r="26" spans="1:18" ht="14.5">
      <c r="A26" s="89">
        <v>7</v>
      </c>
      <c r="B26" s="57" t="str">
        <f>VLOOKUP(A26,Transp.[],2,FALSE)</f>
        <v xml:space="preserve">Carga Material Cantera hasta Veredas </v>
      </c>
      <c r="C26" s="40" t="s">
        <v>667</v>
      </c>
      <c r="D26" s="41">
        <f>+SUM(E8:E9,E12)*1.05</f>
        <v>2354.1</v>
      </c>
      <c r="E26" s="41"/>
      <c r="F26" s="59">
        <f>VLOOKUP(A26,Transp.[],6,FALSE)</f>
        <v>0</v>
      </c>
      <c r="G26" s="59">
        <f>D26*F26</f>
        <v>0</v>
      </c>
    </row>
    <row r="27" spans="1:18" ht="13.15" customHeight="1">
      <c r="A27" s="89"/>
      <c r="B27" s="57"/>
      <c r="C27" s="40"/>
      <c r="D27" s="41"/>
      <c r="E27" s="41"/>
      <c r="F27" s="59"/>
      <c r="G27" s="59"/>
    </row>
    <row r="28" spans="1:18" ht="13">
      <c r="D28" s="47"/>
      <c r="E28" s="47"/>
      <c r="F28" s="61" t="s">
        <v>654</v>
      </c>
      <c r="G28" s="49">
        <f>SUM(G25:G27)</f>
        <v>0</v>
      </c>
    </row>
    <row r="29" spans="1:18"/>
    <row r="30" spans="1:18" ht="13">
      <c r="B30" s="36" t="s">
        <v>661</v>
      </c>
      <c r="D30" s="62"/>
      <c r="E30" s="62"/>
      <c r="F30" s="63"/>
      <c r="G30" s="55"/>
    </row>
    <row r="31" spans="1:18" s="47" customFormat="1" ht="13">
      <c r="A31" s="88" t="s">
        <v>138</v>
      </c>
      <c r="B31" s="38" t="s">
        <v>19</v>
      </c>
      <c r="C31" s="38" t="s">
        <v>662</v>
      </c>
      <c r="D31" s="38" t="s">
        <v>663</v>
      </c>
      <c r="E31" s="38"/>
      <c r="F31" s="38" t="s">
        <v>21</v>
      </c>
      <c r="G31" s="56" t="s">
        <v>286</v>
      </c>
      <c r="J31" s="29"/>
      <c r="K31" s="29"/>
      <c r="L31" s="29"/>
      <c r="M31" s="29"/>
      <c r="N31" s="29"/>
      <c r="O31" s="29"/>
      <c r="P31" s="29"/>
      <c r="Q31" s="29"/>
      <c r="R31" s="29"/>
    </row>
    <row r="32" spans="1:18" ht="14.5">
      <c r="A32" s="89">
        <v>4</v>
      </c>
      <c r="B32" s="64" t="str">
        <f>VLOOKUP(A32,ManoObra[],2,FALSE)</f>
        <v>Oficial de obra</v>
      </c>
      <c r="C32" s="65">
        <f>VLOOKUP(A32,ManoObra[],8,FALSE)</f>
        <v>0</v>
      </c>
      <c r="D32" s="52">
        <f>+FP!E27</f>
        <v>0</v>
      </c>
      <c r="E32" s="52"/>
      <c r="F32" s="71">
        <f>F18</f>
        <v>8</v>
      </c>
      <c r="G32" s="51">
        <f>ROUND(C32*D32/F32,0)</f>
        <v>0</v>
      </c>
    </row>
    <row r="33" spans="1:7" ht="14.5">
      <c r="A33" s="89">
        <v>2</v>
      </c>
      <c r="B33" s="64" t="str">
        <f>VLOOKUP(A33,ManoObra[],2,FALSE)</f>
        <v>Ayudante</v>
      </c>
      <c r="C33" s="65">
        <f>VLOOKUP(A33,ManoObra[],8,FALSE)</f>
        <v>0</v>
      </c>
      <c r="D33" s="52">
        <f>+FP!E27</f>
        <v>0</v>
      </c>
      <c r="E33" s="52"/>
      <c r="F33" s="71">
        <f>+F32/4</f>
        <v>2</v>
      </c>
      <c r="G33" s="51">
        <f>ROUND(C33*D33/F33,0)</f>
        <v>0</v>
      </c>
    </row>
    <row r="34" spans="1:7" ht="13">
      <c r="D34" s="47"/>
      <c r="E34" s="47"/>
      <c r="F34" s="61" t="s">
        <v>654</v>
      </c>
      <c r="G34" s="75">
        <f>SUM(G32:G33)</f>
        <v>0</v>
      </c>
    </row>
    <row r="35" spans="1:7" ht="13">
      <c r="D35" s="47"/>
      <c r="E35" s="47"/>
      <c r="G35" s="55"/>
    </row>
    <row r="36" spans="1:7" ht="12.75" customHeight="1">
      <c r="B36" s="47"/>
      <c r="D36" s="652" t="s">
        <v>664</v>
      </c>
      <c r="E36" s="654"/>
      <c r="F36" s="653"/>
      <c r="G36" s="66">
        <f>G14+G21+G28+G34</f>
        <v>0</v>
      </c>
    </row>
  </sheetData>
  <mergeCells count="4">
    <mergeCell ref="B1:G1"/>
    <mergeCell ref="B4:E4"/>
    <mergeCell ref="J8:K8"/>
    <mergeCell ref="D36:F36"/>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7D28A-1E1D-464B-9637-75F3704D8EB8}">
  <sheetPr>
    <tabColor theme="4" tint="0.59999389629810485"/>
    <pageSetUpPr fitToPage="1"/>
  </sheetPr>
  <dimension ref="A1:R31"/>
  <sheetViews>
    <sheetView showGridLines="0" view="pageBreakPreview" zoomScale="80" zoomScaleNormal="120" zoomScaleSheetLayoutView="80" workbookViewId="0">
      <selection activeCell="A3" sqref="A3:A31"/>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7.81640625" style="29" customWidth="1"/>
    <col min="11" max="11" width="14.7265625" style="29" customWidth="1"/>
    <col min="12" max="12" width="26.81640625" style="29" customWidth="1"/>
    <col min="13"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KW'!A27</f>
        <v>3.2.7</v>
      </c>
      <c r="D3" s="31"/>
      <c r="E3" s="31"/>
      <c r="F3" s="31"/>
      <c r="G3" s="32" t="s">
        <v>652</v>
      </c>
    </row>
    <row r="4" spans="1:7" ht="13">
      <c r="B4" s="649" t="str">
        <f>+'PRES MR 5 KW'!B27</f>
        <v>Acero de refuerzo fy=420 MPa  para cimentaciones y placa</v>
      </c>
      <c r="C4" s="655"/>
      <c r="D4" s="655"/>
      <c r="E4" s="656"/>
      <c r="G4" s="33" t="str">
        <f>+'PRES MR 5 KW'!C27</f>
        <v>kg</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26.5" customHeight="1">
      <c r="A8" s="89">
        <v>93</v>
      </c>
      <c r="B8" s="69" t="str">
        <f>VLOOKUP(A8,Materiales3[],3,FALSE)</f>
        <v>Acero de refuerzo fy=420 MPa</v>
      </c>
      <c r="C8" s="40" t="str">
        <f>VLOOKUP(A8,Materiales3[],4,FALSE)</f>
        <v>kg</v>
      </c>
      <c r="D8" s="192">
        <v>1</v>
      </c>
      <c r="E8" s="40">
        <f>VLOOKUP(A8,Materiales3[],5,FALSE)*D8</f>
        <v>1</v>
      </c>
      <c r="F8" s="42">
        <f>VLOOKUP(A8,Materiales3[],6,FALSE)</f>
        <v>0</v>
      </c>
      <c r="G8" s="42">
        <f t="shared" ref="G8:G10" si="0">D8*F8</f>
        <v>0</v>
      </c>
    </row>
    <row r="9" spans="1:7" ht="14.5">
      <c r="A9" s="89">
        <v>94</v>
      </c>
      <c r="B9" s="69" t="str">
        <f>VLOOKUP(A9,Materiales3[],3,FALSE)</f>
        <v>Alambre negro para amarre calibre 18</v>
      </c>
      <c r="C9" s="40" t="str">
        <f>VLOOKUP(A9,Materiales3[],4,FALSE)</f>
        <v>kg</v>
      </c>
      <c r="D9" s="192">
        <v>0.05</v>
      </c>
      <c r="E9" s="40">
        <f>VLOOKUP(A9,Materiales3[],5,FALSE)*D9</f>
        <v>0.05</v>
      </c>
      <c r="F9" s="42">
        <f>VLOOKUP(A9,Materiales3[],6,FALSE)</f>
        <v>0</v>
      </c>
      <c r="G9" s="42">
        <f t="shared" si="0"/>
        <v>0</v>
      </c>
    </row>
    <row r="10" spans="1:7" ht="14.5">
      <c r="A10" s="89"/>
      <c r="B10" s="69"/>
      <c r="C10" s="40"/>
      <c r="D10" s="192"/>
      <c r="E10" s="40"/>
      <c r="F10" s="42"/>
      <c r="G10" s="42">
        <f t="shared" si="0"/>
        <v>0</v>
      </c>
    </row>
    <row r="11" spans="1:7" ht="13">
      <c r="D11" s="47"/>
      <c r="E11" s="47"/>
      <c r="F11" s="48" t="s">
        <v>654</v>
      </c>
      <c r="G11" s="49">
        <f>SUM(G8:G10)</f>
        <v>0</v>
      </c>
    </row>
    <row r="12" spans="1:7">
      <c r="G12" s="73"/>
    </row>
    <row r="13" spans="1:7" ht="13">
      <c r="B13" s="50" t="s">
        <v>655</v>
      </c>
      <c r="G13" s="74"/>
    </row>
    <row r="14" spans="1:7" ht="13">
      <c r="A14" s="88" t="s">
        <v>138</v>
      </c>
      <c r="B14" s="37" t="s">
        <v>19</v>
      </c>
      <c r="C14" s="38" t="s">
        <v>665</v>
      </c>
      <c r="D14" s="38" t="s">
        <v>656</v>
      </c>
      <c r="E14" s="38"/>
      <c r="F14" s="38" t="s">
        <v>21</v>
      </c>
      <c r="G14" s="38" t="s">
        <v>286</v>
      </c>
    </row>
    <row r="15" spans="1:7" ht="14.5">
      <c r="A15" s="89">
        <v>1</v>
      </c>
      <c r="B15" s="43" t="str">
        <f>VLOOKUP(A15,Equipoyherramienta[],2,FALSE)</f>
        <v>Herramienta menor</v>
      </c>
      <c r="C15" s="44" t="str">
        <f>VLOOKUP(A15,Equipoyherramienta[],3,FALSE)</f>
        <v>UN</v>
      </c>
      <c r="D15" s="51">
        <f>VLOOKUP(A15,Equipoyherramienta[],4,FALSE)</f>
        <v>0</v>
      </c>
      <c r="E15" s="51"/>
      <c r="F15" s="71">
        <f>+RENDIMIENTOS!C56</f>
        <v>250</v>
      </c>
      <c r="G15" s="51">
        <f>ROUND(D15/F15,0)</f>
        <v>0</v>
      </c>
    </row>
    <row r="16" spans="1:7" ht="14.5">
      <c r="A16" s="89"/>
      <c r="B16" s="43"/>
      <c r="C16" s="44"/>
      <c r="D16" s="51"/>
      <c r="E16" s="51"/>
      <c r="F16" s="71"/>
      <c r="G16" s="51"/>
    </row>
    <row r="17" spans="1:18" ht="13">
      <c r="D17" s="47"/>
      <c r="E17" s="47"/>
      <c r="F17" s="48" t="s">
        <v>654</v>
      </c>
      <c r="G17" s="49">
        <f>SUM(G15:G16)</f>
        <v>0</v>
      </c>
    </row>
    <row r="18" spans="1:18" ht="13">
      <c r="D18" s="47"/>
      <c r="E18" s="47"/>
      <c r="F18" s="47"/>
      <c r="G18" s="54"/>
    </row>
    <row r="19" spans="1:18" ht="13">
      <c r="B19" s="36" t="s">
        <v>657</v>
      </c>
      <c r="G19" s="55"/>
    </row>
    <row r="20" spans="1:18" ht="13">
      <c r="A20" s="88" t="s">
        <v>138</v>
      </c>
      <c r="B20" s="37" t="s">
        <v>19</v>
      </c>
      <c r="C20" s="38" t="s">
        <v>284</v>
      </c>
      <c r="D20" s="38" t="s">
        <v>410</v>
      </c>
      <c r="E20" s="38"/>
      <c r="F20" s="38" t="s">
        <v>666</v>
      </c>
      <c r="G20" s="56" t="s">
        <v>286</v>
      </c>
    </row>
    <row r="21" spans="1:18" ht="50">
      <c r="A21" s="89">
        <v>6</v>
      </c>
      <c r="B21" s="57" t="str">
        <f>VLOOKUP(A21,Transp.[],2,FALSE)</f>
        <v>Carga terrestre desde Barranquilla hasta Usuario, incluye cargues, descargues, cruces de río, transporte semoviente, transporte en vehículo de carga pesada y cualquier otro tranposte.</v>
      </c>
      <c r="C21" s="40" t="s">
        <v>667</v>
      </c>
      <c r="D21" s="41">
        <f>SUM(E8:E10)</f>
        <v>1.05</v>
      </c>
      <c r="E21" s="41"/>
      <c r="F21" s="59">
        <f>VLOOKUP(A21,Transp.[],6,FALSE)</f>
        <v>0</v>
      </c>
      <c r="G21" s="59">
        <f>D21*F21</f>
        <v>0</v>
      </c>
    </row>
    <row r="22" spans="1:18" ht="13.15" customHeight="1">
      <c r="A22" s="89"/>
      <c r="B22" s="57"/>
      <c r="C22" s="40"/>
      <c r="D22" s="41"/>
      <c r="E22" s="41"/>
      <c r="F22" s="59"/>
      <c r="G22" s="59"/>
    </row>
    <row r="23" spans="1:18" ht="13">
      <c r="D23" s="47"/>
      <c r="E23" s="47"/>
      <c r="F23" s="61" t="s">
        <v>654</v>
      </c>
      <c r="G23" s="49">
        <f>SUM(G21:G22)</f>
        <v>0</v>
      </c>
    </row>
    <row r="24" spans="1:18"/>
    <row r="25" spans="1:18" ht="13">
      <c r="B25" s="36" t="s">
        <v>661</v>
      </c>
      <c r="D25" s="62"/>
      <c r="E25" s="62"/>
      <c r="F25" s="63"/>
      <c r="G25" s="55"/>
    </row>
    <row r="26" spans="1:18" s="47" customFormat="1" ht="13">
      <c r="A26" s="88" t="s">
        <v>138</v>
      </c>
      <c r="B26" s="38" t="s">
        <v>19</v>
      </c>
      <c r="C26" s="38" t="s">
        <v>662</v>
      </c>
      <c r="D26" s="38" t="s">
        <v>663</v>
      </c>
      <c r="E26" s="38"/>
      <c r="F26" s="38" t="s">
        <v>21</v>
      </c>
      <c r="G26" s="56" t="s">
        <v>286</v>
      </c>
      <c r="J26" s="29"/>
      <c r="K26" s="29"/>
      <c r="L26" s="29"/>
      <c r="M26" s="29"/>
      <c r="N26" s="29"/>
      <c r="O26" s="29"/>
      <c r="P26" s="29"/>
      <c r="Q26" s="29"/>
      <c r="R26" s="29"/>
    </row>
    <row r="27" spans="1:18" ht="14.5">
      <c r="A27" s="89">
        <v>4</v>
      </c>
      <c r="B27" s="64" t="str">
        <f>VLOOKUP(A27,ManoObra[],2,FALSE)</f>
        <v>Oficial de obra</v>
      </c>
      <c r="C27" s="65">
        <f>VLOOKUP(A27,ManoObra[],8,FALSE)</f>
        <v>0</v>
      </c>
      <c r="D27" s="52">
        <f>+FP!E27</f>
        <v>0</v>
      </c>
      <c r="E27" s="52"/>
      <c r="F27" s="71">
        <f>F15</f>
        <v>250</v>
      </c>
      <c r="G27" s="51">
        <f>ROUND(C27*D27/F27,0)</f>
        <v>0</v>
      </c>
    </row>
    <row r="28" spans="1:18" ht="14.5">
      <c r="A28" s="89">
        <v>2</v>
      </c>
      <c r="B28" s="64" t="str">
        <f>VLOOKUP(A28,ManoObra[],2,FALSE)</f>
        <v>Ayudante</v>
      </c>
      <c r="C28" s="65">
        <f>VLOOKUP(A28,ManoObra[],8,FALSE)</f>
        <v>0</v>
      </c>
      <c r="D28" s="52">
        <f>+FP!E27</f>
        <v>0</v>
      </c>
      <c r="E28" s="52"/>
      <c r="F28" s="71">
        <f>+F27</f>
        <v>250</v>
      </c>
      <c r="G28" s="51">
        <f>ROUND(C28*D28/F28,0)</f>
        <v>0</v>
      </c>
    </row>
    <row r="29" spans="1:18" ht="13">
      <c r="D29" s="47"/>
      <c r="E29" s="47"/>
      <c r="F29" s="61" t="s">
        <v>654</v>
      </c>
      <c r="G29" s="75">
        <f>SUM(G27:G28)</f>
        <v>0</v>
      </c>
    </row>
    <row r="30" spans="1:18" ht="13">
      <c r="D30" s="47"/>
      <c r="E30" s="47"/>
      <c r="G30" s="55"/>
    </row>
    <row r="31" spans="1:18" ht="12.75" customHeight="1">
      <c r="B31" s="47"/>
      <c r="D31" s="652" t="s">
        <v>664</v>
      </c>
      <c r="E31" s="654"/>
      <c r="F31" s="653"/>
      <c r="G31" s="66">
        <f>G11+G17+G23+G29</f>
        <v>0</v>
      </c>
    </row>
  </sheetData>
  <mergeCells count="3">
    <mergeCell ref="B1:G1"/>
    <mergeCell ref="B4:E4"/>
    <mergeCell ref="D31:F31"/>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DB9E6-E702-457A-A6A1-72A34F7F475E}">
  <sheetPr>
    <tabColor theme="4" tint="0.59999389629810485"/>
    <pageSetUpPr fitToPage="1"/>
  </sheetPr>
  <dimension ref="A1:R84"/>
  <sheetViews>
    <sheetView showGridLines="0" view="pageBreakPreview" topLeftCell="A13" zoomScale="70" zoomScaleNormal="120" zoomScaleSheetLayoutView="70" workbookViewId="0">
      <selection activeCell="C35" sqref="C35"/>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7.81640625" style="29" customWidth="1"/>
    <col min="11" max="11" width="14.7265625" style="29" customWidth="1"/>
    <col min="12" max="12" width="26.81640625" style="29" customWidth="1"/>
    <col min="13" max="16384" width="11.453125" style="29"/>
  </cols>
  <sheetData>
    <row r="1" spans="1:15" ht="18.75" customHeight="1">
      <c r="B1" s="648" t="str">
        <f>+'[6]PRES GENERAL MR'!A1</f>
        <v>IMPLEMENTACIÓN DE SOLUCIONES ENERGÉTICAS SOSTENIBLES CON FUENTES NO CONVENCIONALES, PARA LAS COMUNIDADES RURALES DEL MUNICIPIO DE PLATO, DEPARTAMENTO MAGDALENA.</v>
      </c>
      <c r="C1" s="648"/>
      <c r="D1" s="648"/>
      <c r="E1" s="648"/>
      <c r="F1" s="648"/>
      <c r="G1" s="648"/>
    </row>
    <row r="3" spans="1:15" ht="12.75" customHeight="1">
      <c r="B3" s="30" t="s">
        <v>651</v>
      </c>
      <c r="C3" s="182" t="str">
        <f>+'[6]PRES MR 5 KW'!A28</f>
        <v>3.2.8</v>
      </c>
      <c r="D3" s="31"/>
      <c r="E3" s="31"/>
      <c r="F3" s="31"/>
      <c r="G3" s="32" t="s">
        <v>652</v>
      </c>
    </row>
    <row r="4" spans="1:15" ht="103.15" customHeight="1">
      <c r="B4" s="649" t="str">
        <f>+'[6]PRES MR 5 KW'!B28</f>
        <v>Suministro, transporte e instalación de envolvente para cuarto de equipos y cuarto de almacenamiento RESPEL (B=3,52 m, L=5,97 m, H=2.3-2.5 m) en estructura interlocking de WPC o similar. Incluye: puertas de acceso en aluminio anodizado, cubierta en teja termo acústica tipo sándwich Blanca por ambas caras. Calibre 28 con caballetes, goteros y rejillas de ventilación en aluminio, según diseño.</v>
      </c>
      <c r="C4" s="655"/>
      <c r="D4" s="655"/>
      <c r="E4" s="656"/>
      <c r="G4" s="33" t="str">
        <f>+'[6]PRES MR 5 KW'!C28</f>
        <v>m2</v>
      </c>
    </row>
    <row r="5" spans="1:15" ht="13">
      <c r="B5" s="34"/>
      <c r="G5" s="35"/>
    </row>
    <row r="6" spans="1:15" ht="13">
      <c r="B6" s="36" t="s">
        <v>653</v>
      </c>
    </row>
    <row r="7" spans="1:15" ht="13">
      <c r="A7" s="88" t="s">
        <v>138</v>
      </c>
      <c r="B7" s="37" t="s">
        <v>19</v>
      </c>
      <c r="C7" s="38" t="s">
        <v>284</v>
      </c>
      <c r="D7" s="38" t="s">
        <v>48</v>
      </c>
      <c r="E7" s="38" t="s">
        <v>410</v>
      </c>
      <c r="F7" s="38" t="s">
        <v>285</v>
      </c>
      <c r="G7" s="38" t="s">
        <v>286</v>
      </c>
    </row>
    <row r="8" spans="1:15" ht="26.5" customHeight="1">
      <c r="A8" s="89"/>
      <c r="B8" s="69" t="s">
        <v>674</v>
      </c>
      <c r="C8" s="40" t="s">
        <v>92</v>
      </c>
      <c r="D8" s="192">
        <f>+K30</f>
        <v>8</v>
      </c>
      <c r="E8" s="194">
        <f>6*D8</f>
        <v>48</v>
      </c>
      <c r="F8" s="42"/>
      <c r="G8" s="42">
        <f t="shared" ref="G8:G16" si="0">D8*F8</f>
        <v>0</v>
      </c>
      <c r="J8" s="29" t="s">
        <v>674</v>
      </c>
    </row>
    <row r="9" spans="1:15" ht="37.9" customHeight="1">
      <c r="A9" s="89">
        <v>97</v>
      </c>
      <c r="B9" s="69" t="str">
        <f>VLOOKUP(A9,[6]!Materiales3[#Data],3,FALSE)</f>
        <v>Acero galvanizado para estructura de soporte de paneles fotovoltaicos (ASTM A500 Gr.C y ASTM A653 Gr.50)</v>
      </c>
      <c r="C9" s="40" t="str">
        <f>VLOOKUP(A9,[6]!Materiales3[#Data],4,FALSE)</f>
        <v>kg</v>
      </c>
      <c r="D9" s="192">
        <f>+K42+K56+O60+O61</f>
        <v>38.198537764580479</v>
      </c>
      <c r="E9" s="194">
        <f>VLOOKUP(A9,[6]!Materiales3[#Data],5,FALSE)*D9</f>
        <v>38.198537764580479</v>
      </c>
      <c r="F9" s="42"/>
      <c r="G9" s="42">
        <f t="shared" si="0"/>
        <v>0</v>
      </c>
    </row>
    <row r="10" spans="1:15" ht="14.5">
      <c r="A10" s="89">
        <v>375</v>
      </c>
      <c r="B10" s="69" t="str">
        <f>VLOOKUP(A10,[6]!Materiales3[#Data],3,FALSE)</f>
        <v>Soldadura electrodo E7018</v>
      </c>
      <c r="C10" s="40" t="str">
        <f>VLOOKUP(A10,[6]!Materiales3[#Data],4,FALSE)</f>
        <v>kg</v>
      </c>
      <c r="D10" s="192">
        <f>0.25</f>
        <v>0.25</v>
      </c>
      <c r="E10" s="194">
        <f>VLOOKUP(A10,[6]!Materiales3[#Data],5,FALSE)*D10</f>
        <v>0.25</v>
      </c>
      <c r="F10" s="42"/>
      <c r="G10" s="42">
        <f t="shared" si="0"/>
        <v>0</v>
      </c>
    </row>
    <row r="11" spans="1:15" ht="37.5">
      <c r="A11" s="89"/>
      <c r="B11" s="69" t="s">
        <v>675</v>
      </c>
      <c r="C11" s="40" t="s">
        <v>618</v>
      </c>
      <c r="D11" s="192">
        <f>+M68</f>
        <v>1.0965909090909092</v>
      </c>
      <c r="E11" s="194">
        <f>7*D11</f>
        <v>7.6761363636363642</v>
      </c>
      <c r="F11" s="42"/>
      <c r="G11" s="42">
        <f t="shared" si="0"/>
        <v>0</v>
      </c>
    </row>
    <row r="12" spans="1:15" ht="14.5">
      <c r="A12" s="89"/>
      <c r="B12" s="69" t="s">
        <v>676</v>
      </c>
      <c r="C12" s="40" t="s">
        <v>618</v>
      </c>
      <c r="D12" s="192">
        <f>+K84</f>
        <v>0.32739454850007621</v>
      </c>
      <c r="E12" s="194">
        <f>15*D12</f>
        <v>4.9109182275011429</v>
      </c>
      <c r="F12" s="42"/>
      <c r="G12" s="42">
        <f t="shared" si="0"/>
        <v>0</v>
      </c>
    </row>
    <row r="13" spans="1:15" ht="14.5">
      <c r="A13" s="89">
        <v>454</v>
      </c>
      <c r="B13" s="69" t="str">
        <f>VLOOKUP(A13,[6]!Materiales3[#Data],3,FALSE)</f>
        <v>Pintura esmalte Tipo 1</v>
      </c>
      <c r="C13" s="40" t="str">
        <f>VLOOKUP(A13,[6]!Materiales3[#Data],4,FALSE)</f>
        <v>GAL</v>
      </c>
      <c r="D13" s="192">
        <v>0.03</v>
      </c>
      <c r="E13" s="194">
        <f>VLOOKUP(A13,[6]!Materiales3[#Data],5,FALSE)*D13</f>
        <v>0.12</v>
      </c>
      <c r="F13" s="42"/>
      <c r="G13" s="42">
        <f t="shared" si="0"/>
        <v>0</v>
      </c>
    </row>
    <row r="14" spans="1:15" ht="14.5">
      <c r="A14" s="89">
        <v>99</v>
      </c>
      <c r="B14" s="69" t="str">
        <f>VLOOKUP(A14,[6]!Materiales3[#Data],3,FALSE)</f>
        <v>Pintura anticorrosiva</v>
      </c>
      <c r="C14" s="40" t="str">
        <f>VLOOKUP(A14,[6]!Materiales3[#Data],4,FALSE)</f>
        <v>gal</v>
      </c>
      <c r="D14" s="192">
        <v>0.02</v>
      </c>
      <c r="E14" s="194">
        <f>VLOOKUP(A14,[6]!Materiales3[#Data],5,FALSE)*D14</f>
        <v>0.02</v>
      </c>
      <c r="F14" s="42"/>
      <c r="G14" s="42">
        <f t="shared" si="0"/>
        <v>0</v>
      </c>
    </row>
    <row r="15" spans="1:15" ht="14.5">
      <c r="A15" s="89"/>
      <c r="B15" s="69" t="s">
        <v>677</v>
      </c>
      <c r="C15" s="40" t="s">
        <v>92</v>
      </c>
      <c r="D15" s="192">
        <v>4</v>
      </c>
      <c r="E15" s="194">
        <f>0.01*D15</f>
        <v>0.04</v>
      </c>
      <c r="F15" s="42"/>
      <c r="G15" s="42">
        <f t="shared" si="0"/>
        <v>0</v>
      </c>
    </row>
    <row r="16" spans="1:15" ht="24" customHeight="1">
      <c r="A16" s="89"/>
      <c r="B16" s="69" t="s">
        <v>678</v>
      </c>
      <c r="C16" s="40" t="s">
        <v>92</v>
      </c>
      <c r="D16" s="192">
        <v>10</v>
      </c>
      <c r="E16" s="194">
        <f>0.001*D16</f>
        <v>0.01</v>
      </c>
      <c r="F16" s="42"/>
      <c r="G16" s="42">
        <f t="shared" si="0"/>
        <v>0</v>
      </c>
      <c r="J16" s="29" t="s">
        <v>679</v>
      </c>
      <c r="K16" s="29">
        <v>15.343</v>
      </c>
      <c r="N16" s="29" t="s">
        <v>680</v>
      </c>
      <c r="O16" s="29">
        <f>+'[6]Memoria Civil'!F165</f>
        <v>21.014399999999998</v>
      </c>
    </row>
    <row r="17" spans="1:18" ht="13">
      <c r="D17" s="47"/>
      <c r="E17" s="47"/>
      <c r="F17" s="48" t="s">
        <v>654</v>
      </c>
      <c r="G17" s="49">
        <f>SUM(G8:G16)</f>
        <v>0</v>
      </c>
      <c r="J17" s="29" t="s">
        <v>681</v>
      </c>
      <c r="K17" s="29">
        <v>14.148999999999999</v>
      </c>
    </row>
    <row r="18" spans="1:18">
      <c r="G18" s="73"/>
      <c r="J18" s="29" t="s">
        <v>682</v>
      </c>
      <c r="K18" s="29">
        <v>8.6999999999999993</v>
      </c>
    </row>
    <row r="19" spans="1:18" ht="13">
      <c r="B19" s="50" t="s">
        <v>655</v>
      </c>
      <c r="G19" s="74"/>
      <c r="J19" s="29" t="s">
        <v>683</v>
      </c>
      <c r="K19" s="29">
        <v>8.6999999999999993</v>
      </c>
    </row>
    <row r="20" spans="1:18" ht="13">
      <c r="A20" s="88" t="s">
        <v>138</v>
      </c>
      <c r="B20" s="37" t="s">
        <v>19</v>
      </c>
      <c r="C20" s="38" t="s">
        <v>665</v>
      </c>
      <c r="D20" s="38" t="s">
        <v>656</v>
      </c>
      <c r="E20" s="38"/>
      <c r="F20" s="38" t="s">
        <v>21</v>
      </c>
      <c r="G20" s="38" t="s">
        <v>286</v>
      </c>
      <c r="J20" s="29" t="s">
        <v>684</v>
      </c>
      <c r="K20" s="29">
        <v>8.6999999999999993</v>
      </c>
    </row>
    <row r="21" spans="1:18" ht="14.5">
      <c r="A21" s="89">
        <v>1</v>
      </c>
      <c r="B21" s="43" t="str">
        <f>VLOOKUP(A21,[6]!Equipoyherramienta[#Data],2,FALSE)</f>
        <v>Herramienta menor</v>
      </c>
      <c r="C21" s="44" t="str">
        <f>VLOOKUP(A21,[6]!Equipoyherramienta[#Data],3,FALSE)</f>
        <v>UN</v>
      </c>
      <c r="D21" s="51">
        <f>VLOOKUP(A21,Equipoyherramienta[#Data],4,FALSE)</f>
        <v>0</v>
      </c>
      <c r="E21" s="51"/>
      <c r="F21" s="71">
        <v>0.5</v>
      </c>
      <c r="G21" s="51">
        <f>ROUND(D21/F21,0)</f>
        <v>0</v>
      </c>
      <c r="J21" s="29" t="s">
        <v>685</v>
      </c>
      <c r="K21" s="29">
        <f>-1.8*2</f>
        <v>-3.6</v>
      </c>
    </row>
    <row r="22" spans="1:18" ht="14.5">
      <c r="A22" s="89"/>
      <c r="B22" s="43"/>
      <c r="C22" s="44"/>
      <c r="D22" s="51"/>
      <c r="E22" s="51"/>
      <c r="F22" s="71"/>
      <c r="G22" s="51"/>
      <c r="J22" s="29" t="s">
        <v>686</v>
      </c>
      <c r="K22" s="29">
        <f>-1*2</f>
        <v>-2</v>
      </c>
    </row>
    <row r="23" spans="1:18" ht="13">
      <c r="D23" s="47"/>
      <c r="E23" s="47"/>
      <c r="F23" s="48" t="s">
        <v>654</v>
      </c>
      <c r="G23" s="49">
        <f>SUM(G21:G22)</f>
        <v>0</v>
      </c>
      <c r="J23" s="29" t="s">
        <v>687</v>
      </c>
      <c r="K23" s="29">
        <f>-0.4*1.2</f>
        <v>-0.48</v>
      </c>
    </row>
    <row r="24" spans="1:18" ht="13">
      <c r="D24" s="47"/>
      <c r="E24" s="47"/>
      <c r="F24" s="47"/>
      <c r="G24" s="54"/>
      <c r="J24" s="29" t="s">
        <v>688</v>
      </c>
      <c r="K24" s="29">
        <f>-0.4*1.2</f>
        <v>-0.48</v>
      </c>
    </row>
    <row r="25" spans="1:18" ht="13">
      <c r="B25" s="36" t="s">
        <v>657</v>
      </c>
      <c r="G25" s="55"/>
      <c r="J25" s="29" t="s">
        <v>689</v>
      </c>
      <c r="K25" s="29">
        <f>-0.4*0.4</f>
        <v>-0.16000000000000003</v>
      </c>
    </row>
    <row r="26" spans="1:18" ht="13">
      <c r="A26" s="88" t="s">
        <v>138</v>
      </c>
      <c r="B26" s="37" t="s">
        <v>19</v>
      </c>
      <c r="C26" s="38" t="s">
        <v>284</v>
      </c>
      <c r="D26" s="38" t="s">
        <v>410</v>
      </c>
      <c r="E26" s="38"/>
      <c r="F26" s="38" t="s">
        <v>666</v>
      </c>
      <c r="G26" s="56" t="s">
        <v>286</v>
      </c>
      <c r="J26" s="29" t="s">
        <v>690</v>
      </c>
      <c r="K26" s="29">
        <f>-0.4*0.4</f>
        <v>-0.16000000000000003</v>
      </c>
    </row>
    <row r="27" spans="1:18" ht="50">
      <c r="A27" s="89">
        <v>6</v>
      </c>
      <c r="B27" s="57" t="str">
        <f>VLOOKUP(A27,[6]!Transp.[#Data],2,FALSE)</f>
        <v>Carga terrestre desde Barranquilla hasta Usuario, incluye cargues, descargues, cruces de río, transporte semoviente, transporte en vehículo de carga pesada y cualquier otro tranposte.</v>
      </c>
      <c r="C27" s="40" t="s">
        <v>667</v>
      </c>
      <c r="D27" s="41">
        <f>SUM(E8:E16)</f>
        <v>99.225592355717993</v>
      </c>
      <c r="E27" s="41"/>
      <c r="F27" s="59">
        <f>VLOOKUP(A27,Transp.[#Data],6,FALSE)</f>
        <v>0</v>
      </c>
      <c r="G27" s="59">
        <f>D27*F27</f>
        <v>0</v>
      </c>
      <c r="J27" s="29" t="s">
        <v>691</v>
      </c>
      <c r="K27" s="29">
        <f>SUM(K16:K26)</f>
        <v>48.71200000000001</v>
      </c>
    </row>
    <row r="28" spans="1:18" ht="13.15" customHeight="1">
      <c r="A28" s="89"/>
      <c r="B28" s="57"/>
      <c r="C28" s="40"/>
      <c r="D28" s="41"/>
      <c r="E28" s="41"/>
      <c r="F28" s="59"/>
      <c r="G28" s="59"/>
      <c r="J28" s="29" t="s">
        <v>692</v>
      </c>
      <c r="K28" s="29">
        <f>2.9*0.1</f>
        <v>0.28999999999999998</v>
      </c>
    </row>
    <row r="29" spans="1:18" ht="13">
      <c r="D29" s="47"/>
      <c r="E29" s="47"/>
      <c r="F29" s="61" t="s">
        <v>654</v>
      </c>
      <c r="G29" s="49">
        <f>SUM(G27:G28)</f>
        <v>0</v>
      </c>
      <c r="J29" s="29" t="s">
        <v>693</v>
      </c>
      <c r="K29" s="29">
        <f>+K27/K28</f>
        <v>167.9724137931035</v>
      </c>
    </row>
    <row r="30" spans="1:18">
      <c r="J30" s="29" t="s">
        <v>694</v>
      </c>
      <c r="K30" s="29">
        <f>+ROUNDUP(K29/O16,1)</f>
        <v>8</v>
      </c>
    </row>
    <row r="31" spans="1:18" ht="13">
      <c r="B31" s="36" t="s">
        <v>661</v>
      </c>
      <c r="D31" s="62"/>
      <c r="E31" s="62"/>
      <c r="F31" s="63"/>
      <c r="G31" s="55"/>
    </row>
    <row r="32" spans="1:18" s="47" customFormat="1" ht="13">
      <c r="A32" s="88" t="s">
        <v>138</v>
      </c>
      <c r="B32" s="38" t="s">
        <v>19</v>
      </c>
      <c r="C32" s="38" t="s">
        <v>662</v>
      </c>
      <c r="D32" s="38" t="s">
        <v>663</v>
      </c>
      <c r="E32" s="38"/>
      <c r="F32" s="38" t="s">
        <v>21</v>
      </c>
      <c r="G32" s="56" t="s">
        <v>286</v>
      </c>
      <c r="I32" s="29"/>
      <c r="J32" s="195" t="s">
        <v>695</v>
      </c>
      <c r="K32" s="29"/>
      <c r="L32" s="29"/>
      <c r="M32" s="29" t="s">
        <v>696</v>
      </c>
      <c r="N32" s="47">
        <v>4.34</v>
      </c>
      <c r="O32" s="29"/>
      <c r="P32" s="29"/>
      <c r="Q32" s="29"/>
      <c r="R32" s="29"/>
    </row>
    <row r="33" spans="1:14" ht="14.5">
      <c r="A33" s="89">
        <v>4</v>
      </c>
      <c r="B33" s="64" t="str">
        <f>VLOOKUP(A33,[6]!ManoObra[#Data],2,FALSE)</f>
        <v>Oficial de obra</v>
      </c>
      <c r="C33" s="65">
        <f>VLOOKUP(A33,ManoObra[#Data],8,FALSE)</f>
        <v>0</v>
      </c>
      <c r="D33" s="52">
        <f>+[6]FP!E27</f>
        <v>1.61</v>
      </c>
      <c r="E33" s="52"/>
      <c r="F33" s="71">
        <f>F21</f>
        <v>0.5</v>
      </c>
      <c r="G33" s="51">
        <f>ROUND(C33*D33/F33,0)</f>
        <v>0</v>
      </c>
      <c r="I33" s="47"/>
      <c r="J33" s="47"/>
      <c r="K33" s="47"/>
    </row>
    <row r="34" spans="1:14" ht="14.5">
      <c r="A34" s="89">
        <v>2</v>
      </c>
      <c r="B34" s="64" t="str">
        <f>VLOOKUP(A34,[6]!ManoObra[#Data],2,FALSE)</f>
        <v>Ayudante</v>
      </c>
      <c r="C34" s="65">
        <f>VLOOKUP(A34,ManoObra[#Data],8,FALSE)</f>
        <v>0</v>
      </c>
      <c r="D34" s="52">
        <f>+[6]FP!E27</f>
        <v>1.61</v>
      </c>
      <c r="E34" s="52"/>
      <c r="F34" s="71">
        <f>+F33</f>
        <v>0.5</v>
      </c>
      <c r="G34" s="51">
        <f>ROUND(C34*D34/F34,0)</f>
        <v>0</v>
      </c>
      <c r="J34" s="29" t="s">
        <v>679</v>
      </c>
      <c r="K34" s="29">
        <f>5*2.5+1.8</f>
        <v>14.3</v>
      </c>
    </row>
    <row r="35" spans="1:14" ht="13">
      <c r="D35" s="47"/>
      <c r="E35" s="47"/>
      <c r="F35" s="61" t="s">
        <v>654</v>
      </c>
      <c r="G35" s="75">
        <f>SUM(G33:G34)</f>
        <v>0</v>
      </c>
      <c r="J35" s="29" t="s">
        <v>681</v>
      </c>
      <c r="K35" s="29">
        <f>5*2.3+2*1.2</f>
        <v>13.9</v>
      </c>
    </row>
    <row r="36" spans="1:14" ht="13">
      <c r="D36" s="47"/>
      <c r="E36" s="47"/>
      <c r="G36" s="55"/>
      <c r="J36" s="29" t="s">
        <v>682</v>
      </c>
      <c r="K36" s="29">
        <f>4*2.4+2*1.2</f>
        <v>12</v>
      </c>
    </row>
    <row r="37" spans="1:14" ht="12.75" customHeight="1">
      <c r="B37" s="47"/>
      <c r="D37" s="652" t="s">
        <v>664</v>
      </c>
      <c r="E37" s="654"/>
      <c r="F37" s="653"/>
      <c r="G37" s="66">
        <f>G17+G23+G29+G35</f>
        <v>0</v>
      </c>
      <c r="J37" s="29" t="s">
        <v>683</v>
      </c>
      <c r="K37" s="29">
        <v>2.4</v>
      </c>
    </row>
    <row r="38" spans="1:14">
      <c r="J38" s="29" t="s">
        <v>684</v>
      </c>
      <c r="K38" s="29">
        <f>4*2.4+1*1</f>
        <v>10.6</v>
      </c>
    </row>
    <row r="39" spans="1:14">
      <c r="J39" s="29" t="s">
        <v>697</v>
      </c>
      <c r="K39" s="29">
        <f>6*5.9+5*3.53</f>
        <v>53.050000000000004</v>
      </c>
    </row>
    <row r="40" spans="1:14">
      <c r="J40" s="29" t="s">
        <v>691</v>
      </c>
      <c r="K40" s="29">
        <f>SUM(K34:K39)</f>
        <v>106.25</v>
      </c>
    </row>
    <row r="41" spans="1:14">
      <c r="J41" s="29" t="s">
        <v>698</v>
      </c>
      <c r="K41" s="29">
        <f>+K40*N32</f>
        <v>461.125</v>
      </c>
    </row>
    <row r="42" spans="1:14">
      <c r="J42" s="29" t="s">
        <v>699</v>
      </c>
      <c r="K42" s="29">
        <f>+K41/O16</f>
        <v>21.943286508299074</v>
      </c>
    </row>
    <row r="46" spans="1:14">
      <c r="J46" s="195" t="s">
        <v>700</v>
      </c>
    </row>
    <row r="47" spans="1:14" ht="13">
      <c r="J47" s="47"/>
      <c r="K47" s="47"/>
    </row>
    <row r="48" spans="1:14" ht="13">
      <c r="J48" s="29" t="s">
        <v>679</v>
      </c>
      <c r="K48" s="29">
        <f>8*2.5+1.8</f>
        <v>21.8</v>
      </c>
      <c r="M48" s="29" t="s">
        <v>696</v>
      </c>
      <c r="N48" s="47">
        <v>3.06</v>
      </c>
    </row>
    <row r="49" spans="10:15">
      <c r="J49" s="29" t="s">
        <v>681</v>
      </c>
      <c r="K49" s="29">
        <f>8*2.3+2*1.2</f>
        <v>20.799999999999997</v>
      </c>
    </row>
    <row r="50" spans="10:15">
      <c r="J50" s="29" t="s">
        <v>682</v>
      </c>
      <c r="K50" s="29">
        <f>6*2.4+2*1.2</f>
        <v>16.799999999999997</v>
      </c>
    </row>
    <row r="51" spans="10:15">
      <c r="J51" s="29" t="s">
        <v>683</v>
      </c>
      <c r="K51" s="29">
        <f>4*2.4</f>
        <v>9.6</v>
      </c>
    </row>
    <row r="52" spans="10:15">
      <c r="J52" s="29" t="s">
        <v>684</v>
      </c>
      <c r="K52" s="29">
        <f>6*2.4+1*1</f>
        <v>15.399999999999999</v>
      </c>
    </row>
    <row r="53" spans="10:15">
      <c r="J53" s="29" t="s">
        <v>697</v>
      </c>
      <c r="K53" s="29">
        <f>2*5.9+2*3.53</f>
        <v>18.86</v>
      </c>
    </row>
    <row r="54" spans="10:15">
      <c r="J54" s="29" t="s">
        <v>691</v>
      </c>
      <c r="K54" s="29">
        <f>SUM(K48:K53)</f>
        <v>103.25999999999998</v>
      </c>
    </row>
    <row r="55" spans="10:15">
      <c r="J55" s="29" t="s">
        <v>698</v>
      </c>
      <c r="K55" s="29">
        <f>+K54*N48</f>
        <v>315.97559999999993</v>
      </c>
    </row>
    <row r="56" spans="10:15">
      <c r="J56" s="29" t="s">
        <v>699</v>
      </c>
      <c r="K56" s="29">
        <f>+K55/O16</f>
        <v>15.03614664230242</v>
      </c>
    </row>
    <row r="59" spans="10:15">
      <c r="J59" s="29" t="s">
        <v>701</v>
      </c>
    </row>
    <row r="60" spans="10:15" ht="52">
      <c r="J60" s="185" t="s">
        <v>474</v>
      </c>
      <c r="K60" s="184">
        <f>15*0.2*0.2</f>
        <v>0.60000000000000009</v>
      </c>
      <c r="L60" s="184">
        <v>4.0000000000000001E-3</v>
      </c>
      <c r="M60" s="184">
        <v>7850</v>
      </c>
      <c r="N60" s="186">
        <f>+K60*L60*M60</f>
        <v>18.840000000000003</v>
      </c>
      <c r="O60" s="29">
        <f>+N60/O16</f>
        <v>0.89652809502055752</v>
      </c>
    </row>
    <row r="61" spans="10:15" ht="52">
      <c r="J61" s="185" t="s">
        <v>422</v>
      </c>
      <c r="K61" s="184">
        <f>15*4</f>
        <v>60</v>
      </c>
      <c r="L61" s="184">
        <f>8*0.0254</f>
        <v>0.20319999999999999</v>
      </c>
      <c r="M61" s="184">
        <v>0.55600000000000005</v>
      </c>
      <c r="N61" s="186">
        <f>+L61*K61*M61</f>
        <v>6.7787520000000008</v>
      </c>
      <c r="O61" s="29">
        <f>+N61/O16</f>
        <v>0.32257651895842859</v>
      </c>
    </row>
    <row r="64" spans="10:15">
      <c r="J64" s="29" t="s">
        <v>697</v>
      </c>
    </row>
    <row r="66" spans="10:13" ht="15">
      <c r="J66" s="183" t="s">
        <v>426</v>
      </c>
      <c r="K66" s="183" t="s">
        <v>396</v>
      </c>
      <c r="L66" s="183" t="s">
        <v>415</v>
      </c>
      <c r="M66" s="183" t="s">
        <v>427</v>
      </c>
    </row>
    <row r="67" spans="10:13" ht="13">
      <c r="J67" s="184">
        <v>1</v>
      </c>
      <c r="K67" s="184">
        <v>3.86</v>
      </c>
      <c r="L67" s="184">
        <v>5.97</v>
      </c>
      <c r="M67" s="184">
        <f>+J67*K67*L67</f>
        <v>23.0442</v>
      </c>
    </row>
    <row r="68" spans="10:13">
      <c r="M68" s="29">
        <f>+M67/O16</f>
        <v>1.0965909090909092</v>
      </c>
    </row>
    <row r="75" spans="10:13">
      <c r="J75" s="29" t="s">
        <v>702</v>
      </c>
    </row>
    <row r="77" spans="10:13">
      <c r="J77" s="29" t="s">
        <v>685</v>
      </c>
      <c r="K77" s="29">
        <f>1.8*2</f>
        <v>3.6</v>
      </c>
    </row>
    <row r="78" spans="10:13">
      <c r="J78" s="29" t="s">
        <v>686</v>
      </c>
      <c r="K78" s="29">
        <f>1*2</f>
        <v>2</v>
      </c>
    </row>
    <row r="79" spans="10:13">
      <c r="J79" s="29" t="s">
        <v>687</v>
      </c>
      <c r="K79" s="29">
        <f>0.4*1.2</f>
        <v>0.48</v>
      </c>
    </row>
    <row r="80" spans="10:13">
      <c r="J80" s="29" t="s">
        <v>688</v>
      </c>
      <c r="K80" s="29">
        <f>0.4*1.2</f>
        <v>0.48</v>
      </c>
    </row>
    <row r="81" spans="10:11">
      <c r="J81" s="29" t="s">
        <v>689</v>
      </c>
      <c r="K81" s="29">
        <f>0.4*0.4</f>
        <v>0.16000000000000003</v>
      </c>
    </row>
    <row r="82" spans="10:11">
      <c r="J82" s="29" t="s">
        <v>690</v>
      </c>
      <c r="K82" s="29">
        <f>0.4*0.4</f>
        <v>0.16000000000000003</v>
      </c>
    </row>
    <row r="83" spans="10:11">
      <c r="J83" s="29" t="s">
        <v>691</v>
      </c>
      <c r="K83" s="29">
        <f>SUM(K77:K82)</f>
        <v>6.8800000000000008</v>
      </c>
    </row>
    <row r="84" spans="10:11">
      <c r="J84" s="29" t="s">
        <v>703</v>
      </c>
      <c r="K84" s="29">
        <f>+K83/O16</f>
        <v>0.32739454850007621</v>
      </c>
    </row>
  </sheetData>
  <mergeCells count="3">
    <mergeCell ref="B1:G1"/>
    <mergeCell ref="B4:E4"/>
    <mergeCell ref="D37:F37"/>
  </mergeCells>
  <phoneticPr fontId="32" type="noConversion"/>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8DC64-6FDF-4112-A143-260C6494BFF4}">
  <sheetPr>
    <tabColor theme="4" tint="0.59999389629810485"/>
    <pageSetUpPr fitToPage="1"/>
  </sheetPr>
  <dimension ref="A1:R79"/>
  <sheetViews>
    <sheetView showGridLines="0" view="pageBreakPreview" zoomScale="80" zoomScaleNormal="120" zoomScaleSheetLayoutView="80" workbookViewId="0">
      <selection activeCell="A5" sqref="A5:A52"/>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7.81640625" style="29" customWidth="1"/>
    <col min="11" max="11" width="14.7265625" style="29" customWidth="1"/>
    <col min="12" max="12" width="26.81640625" style="29" customWidth="1"/>
    <col min="13" max="16384" width="11.453125" style="29"/>
  </cols>
  <sheetData>
    <row r="1" spans="1:11"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11" ht="12.75" customHeight="1">
      <c r="B3" s="30" t="s">
        <v>651</v>
      </c>
      <c r="C3" s="182" t="str">
        <f>+'PRES MR 5 KW'!A29</f>
        <v>3.2.9</v>
      </c>
      <c r="D3" s="31"/>
      <c r="E3" s="31"/>
      <c r="F3" s="31"/>
      <c r="G3" s="32" t="s">
        <v>652</v>
      </c>
    </row>
    <row r="4" spans="1:11" ht="69.650000000000006" customHeight="1">
      <c r="B4" s="649" t="str">
        <f>+'PRES MR 5 KW'!B29</f>
        <v>Suministro, transporte e instalación de estructura en acero (ASTM A500 Gr.C y ASTM A653 Gr. 50)  galvanizado, para soporte de paneles y pared de equipos según diseño. Incluye cortes, perforaciones, conexiones,  elementos de sujeción de paneles con aislante de neopreno y pintura anticorrosiva.</v>
      </c>
      <c r="C4" s="655"/>
      <c r="D4" s="655"/>
      <c r="E4" s="656"/>
      <c r="G4" s="33" t="str">
        <f>+'PRES MR 5 KW'!C29</f>
        <v>kg</v>
      </c>
    </row>
    <row r="5" spans="1:11" ht="13">
      <c r="B5" s="34"/>
      <c r="G5" s="35"/>
    </row>
    <row r="6" spans="1:11" ht="13">
      <c r="B6" s="36" t="s">
        <v>653</v>
      </c>
    </row>
    <row r="7" spans="1:11" ht="13">
      <c r="A7" s="88" t="s">
        <v>138</v>
      </c>
      <c r="B7" s="37" t="s">
        <v>19</v>
      </c>
      <c r="C7" s="38" t="s">
        <v>284</v>
      </c>
      <c r="D7" s="38" t="s">
        <v>48</v>
      </c>
      <c r="E7" s="38" t="s">
        <v>410</v>
      </c>
      <c r="F7" s="38" t="s">
        <v>285</v>
      </c>
      <c r="G7" s="38" t="s">
        <v>286</v>
      </c>
    </row>
    <row r="8" spans="1:11" ht="37.9" customHeight="1">
      <c r="A8" s="89">
        <v>97</v>
      </c>
      <c r="B8" s="69" t="str">
        <f>VLOOKUP(A8,Materiales3[],3,FALSE)</f>
        <v>Acero galvanizado para estructura de soporte de paneles fotovoltaicos (ASTM A500 Gr.C y ASTM A653 Gr.50)</v>
      </c>
      <c r="C8" s="40" t="str">
        <f>VLOOKUP(A8,Materiales3[],4,FALSE)</f>
        <v>kg</v>
      </c>
      <c r="D8" s="192">
        <v>1.05</v>
      </c>
      <c r="E8" s="194">
        <f>VLOOKUP(A8,Materiales3[],5,FALSE)*D8</f>
        <v>1.05</v>
      </c>
      <c r="F8" s="42">
        <f>VLOOKUP(A8,Materiales3[],6,FALSE)</f>
        <v>0</v>
      </c>
      <c r="G8" s="42">
        <f t="shared" ref="G8:G9" si="0">D8*F8</f>
        <v>0</v>
      </c>
    </row>
    <row r="9" spans="1:11" ht="14.5">
      <c r="A9" s="89">
        <v>98</v>
      </c>
      <c r="B9" s="69" t="str">
        <f>VLOOKUP(A9,Materiales3[],3,FALSE)</f>
        <v>Aislante de neopreno e mín.=6 mm</v>
      </c>
      <c r="C9" s="40" t="str">
        <f>VLOOKUP(A9,Materiales3[],4,FALSE)</f>
        <v>m</v>
      </c>
      <c r="D9" s="192">
        <v>0.04</v>
      </c>
      <c r="E9" s="194">
        <f>VLOOKUP(A9,Materiales3[],5,FALSE)*D9</f>
        <v>0.04</v>
      </c>
      <c r="F9" s="42">
        <f>VLOOKUP(A9,Materiales3[],6,FALSE)</f>
        <v>0</v>
      </c>
      <c r="G9" s="42">
        <f t="shared" si="0"/>
        <v>0</v>
      </c>
    </row>
    <row r="10" spans="1:11" ht="14.5">
      <c r="A10" s="89">
        <v>99</v>
      </c>
      <c r="B10" s="69" t="str">
        <f>VLOOKUP(A10,Materiales3[],3,FALSE)</f>
        <v>Pintura anticorrosiva</v>
      </c>
      <c r="C10" s="40" t="str">
        <f>VLOOKUP(A10,Materiales3[],4,FALSE)</f>
        <v>gal</v>
      </c>
      <c r="D10" s="192">
        <v>0.02</v>
      </c>
      <c r="E10" s="194">
        <f>VLOOKUP(A10,Materiales3[],5,FALSE)*D10</f>
        <v>0.02</v>
      </c>
      <c r="F10" s="42">
        <f>VLOOKUP(A10,Materiales3[],6,FALSE)</f>
        <v>0</v>
      </c>
      <c r="G10" s="42">
        <f t="shared" ref="G10:G11" si="1">D10*F10</f>
        <v>0</v>
      </c>
    </row>
    <row r="11" spans="1:11" ht="14.5">
      <c r="A11" s="89">
        <v>375</v>
      </c>
      <c r="B11" s="69" t="str">
        <f>VLOOKUP(A11,Materiales3[],3,FALSE)</f>
        <v>Soldadura electrodo E7018</v>
      </c>
      <c r="C11" s="40" t="str">
        <f>VLOOKUP(A11,Materiales3[],4,FALSE)</f>
        <v>kg</v>
      </c>
      <c r="D11" s="192">
        <v>0.05</v>
      </c>
      <c r="E11" s="194">
        <f>VLOOKUP(A11,Materiales3[],5,FALSE)*D11</f>
        <v>0.05</v>
      </c>
      <c r="F11" s="42">
        <f>VLOOKUP(A11,Materiales3[],6,FALSE)</f>
        <v>0</v>
      </c>
      <c r="G11" s="42">
        <f t="shared" si="1"/>
        <v>0</v>
      </c>
    </row>
    <row r="12" spans="1:11" ht="13">
      <c r="D12" s="47"/>
      <c r="E12" s="47"/>
      <c r="F12" s="48" t="s">
        <v>654</v>
      </c>
      <c r="G12" s="49">
        <f>SUM(G8:G11)</f>
        <v>0</v>
      </c>
      <c r="J12" s="29" t="s">
        <v>681</v>
      </c>
      <c r="K12" s="29">
        <v>14.148999999999999</v>
      </c>
    </row>
    <row r="13" spans="1:11">
      <c r="G13" s="73"/>
      <c r="J13" s="29" t="s">
        <v>682</v>
      </c>
      <c r="K13" s="29">
        <v>8.6999999999999993</v>
      </c>
    </row>
    <row r="14" spans="1:11" ht="13">
      <c r="B14" s="50" t="s">
        <v>655</v>
      </c>
      <c r="G14" s="74"/>
      <c r="J14" s="29" t="s">
        <v>683</v>
      </c>
      <c r="K14" s="29">
        <v>8.6999999999999993</v>
      </c>
    </row>
    <row r="15" spans="1:11" ht="13">
      <c r="A15" s="88" t="s">
        <v>138</v>
      </c>
      <c r="B15" s="37" t="s">
        <v>19</v>
      </c>
      <c r="C15" s="38" t="s">
        <v>665</v>
      </c>
      <c r="D15" s="38" t="s">
        <v>656</v>
      </c>
      <c r="E15" s="38"/>
      <c r="F15" s="38" t="s">
        <v>21</v>
      </c>
      <c r="G15" s="38" t="s">
        <v>286</v>
      </c>
      <c r="J15" s="29" t="s">
        <v>684</v>
      </c>
      <c r="K15" s="29">
        <v>8.6999999999999993</v>
      </c>
    </row>
    <row r="16" spans="1:11" ht="14.5">
      <c r="A16" s="89">
        <v>1</v>
      </c>
      <c r="B16" s="43" t="str">
        <f>VLOOKUP(A16,Equipoyherramienta[],2,FALSE)</f>
        <v>Herramienta menor</v>
      </c>
      <c r="C16" s="44" t="str">
        <f>VLOOKUP(A16,Equipoyherramienta[],3,FALSE)</f>
        <v>UN</v>
      </c>
      <c r="D16" s="51">
        <f>VLOOKUP(A16,Equipoyherramienta[],4,FALSE)</f>
        <v>0</v>
      </c>
      <c r="E16" s="51"/>
      <c r="F16" s="71">
        <f>+RENDIMIENTOS!C58</f>
        <v>40</v>
      </c>
      <c r="G16" s="51">
        <f>ROUND(D16/F16,0)</f>
        <v>0</v>
      </c>
      <c r="J16" s="29" t="s">
        <v>685</v>
      </c>
      <c r="K16" s="29">
        <f>-1.8*2</f>
        <v>-3.6</v>
      </c>
    </row>
    <row r="17" spans="1:18" ht="14.5">
      <c r="A17" s="89">
        <v>10</v>
      </c>
      <c r="B17" s="43" t="str">
        <f>VLOOKUP(A17,Equipoyherramienta[],2,FALSE)</f>
        <v>Equipo de oxicorte y soldadura, capacidad de corte 6"-14", incluye soldadura</v>
      </c>
      <c r="C17" s="44" t="str">
        <f>VLOOKUP(A17,Equipoyherramienta[],3,FALSE)</f>
        <v>HORA</v>
      </c>
      <c r="D17" s="51">
        <f>VLOOKUP(A17,Equipoyherramienta[],4,FALSE)</f>
        <v>0</v>
      </c>
      <c r="E17" s="51"/>
      <c r="F17" s="71">
        <f>+F16/4</f>
        <v>10</v>
      </c>
      <c r="G17" s="51">
        <f>ROUND(D17/F17,0)</f>
        <v>0</v>
      </c>
      <c r="J17" s="29" t="s">
        <v>686</v>
      </c>
      <c r="K17" s="29">
        <f>-1*2</f>
        <v>-2</v>
      </c>
    </row>
    <row r="18" spans="1:18" ht="13">
      <c r="D18" s="47"/>
      <c r="E18" s="47"/>
      <c r="F18" s="48" t="s">
        <v>654</v>
      </c>
      <c r="G18" s="49">
        <f>SUM(G16:G17)</f>
        <v>0</v>
      </c>
      <c r="J18" s="29" t="s">
        <v>687</v>
      </c>
      <c r="K18" s="29">
        <f>-0.4*1.2</f>
        <v>-0.48</v>
      </c>
    </row>
    <row r="19" spans="1:18" ht="13">
      <c r="D19" s="47"/>
      <c r="E19" s="47"/>
      <c r="F19" s="47"/>
      <c r="G19" s="54"/>
      <c r="J19" s="29" t="s">
        <v>688</v>
      </c>
      <c r="K19" s="29">
        <f>-0.4*1.2</f>
        <v>-0.48</v>
      </c>
    </row>
    <row r="20" spans="1:18" ht="13">
      <c r="B20" s="36" t="s">
        <v>657</v>
      </c>
      <c r="G20" s="55"/>
      <c r="J20" s="29" t="s">
        <v>689</v>
      </c>
      <c r="K20" s="29">
        <f>-0.4*0.4</f>
        <v>-0.16000000000000003</v>
      </c>
    </row>
    <row r="21" spans="1:18" ht="13">
      <c r="A21" s="88" t="s">
        <v>138</v>
      </c>
      <c r="B21" s="37" t="s">
        <v>19</v>
      </c>
      <c r="C21" s="38" t="s">
        <v>284</v>
      </c>
      <c r="D21" s="38" t="s">
        <v>410</v>
      </c>
      <c r="E21" s="38"/>
      <c r="F21" s="38" t="s">
        <v>666</v>
      </c>
      <c r="G21" s="56" t="s">
        <v>286</v>
      </c>
      <c r="J21" s="29" t="s">
        <v>690</v>
      </c>
      <c r="K21" s="29">
        <f>-0.4*0.4</f>
        <v>-0.16000000000000003</v>
      </c>
    </row>
    <row r="22" spans="1:18" ht="50">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SUM(E8:E11)</f>
        <v>1.1600000000000001</v>
      </c>
      <c r="E22" s="41"/>
      <c r="F22" s="59">
        <f>VLOOKUP(A22,Transp.[],6,FALSE)</f>
        <v>0</v>
      </c>
      <c r="G22" s="59">
        <f>D22*F22</f>
        <v>0</v>
      </c>
      <c r="J22" s="29" t="s">
        <v>691</v>
      </c>
      <c r="K22" s="29">
        <f>SUM(K12:K21)</f>
        <v>33.369000000000007</v>
      </c>
    </row>
    <row r="23" spans="1:18" ht="13.15" customHeight="1">
      <c r="A23" s="89"/>
      <c r="B23" s="57"/>
      <c r="C23" s="40"/>
      <c r="D23" s="41"/>
      <c r="E23" s="41"/>
      <c r="F23" s="59"/>
      <c r="G23" s="59"/>
      <c r="J23" s="29" t="s">
        <v>692</v>
      </c>
      <c r="K23" s="29">
        <f>2.9*0.1</f>
        <v>0.28999999999999998</v>
      </c>
    </row>
    <row r="24" spans="1:18" ht="13">
      <c r="D24" s="47"/>
      <c r="E24" s="47"/>
      <c r="F24" s="61" t="s">
        <v>654</v>
      </c>
      <c r="G24" s="49">
        <f>SUM(G22:G23)</f>
        <v>0</v>
      </c>
      <c r="J24" s="29" t="s">
        <v>693</v>
      </c>
      <c r="K24" s="29">
        <f>+K22/K23</f>
        <v>115.06551724137934</v>
      </c>
    </row>
    <row r="25" spans="1:18">
      <c r="J25" s="29" t="s">
        <v>694</v>
      </c>
      <c r="K25" s="29" t="e">
        <f>+ROUNDUP(K24/#REF!,1)</f>
        <v>#REF!</v>
      </c>
    </row>
    <row r="26" spans="1:18" ht="13">
      <c r="B26" s="36" t="s">
        <v>661</v>
      </c>
      <c r="D26" s="62"/>
      <c r="E26" s="62"/>
      <c r="F26" s="63"/>
      <c r="G26" s="55"/>
    </row>
    <row r="27" spans="1:18" s="47" customFormat="1" ht="13">
      <c r="A27" s="88" t="s">
        <v>138</v>
      </c>
      <c r="B27" s="38" t="s">
        <v>19</v>
      </c>
      <c r="C27" s="38" t="s">
        <v>662</v>
      </c>
      <c r="D27" s="38" t="s">
        <v>663</v>
      </c>
      <c r="E27" s="38"/>
      <c r="F27" s="38" t="s">
        <v>21</v>
      </c>
      <c r="G27" s="56" t="s">
        <v>286</v>
      </c>
      <c r="I27" s="29"/>
      <c r="J27" s="195" t="s">
        <v>695</v>
      </c>
      <c r="K27" s="29"/>
      <c r="L27" s="29"/>
      <c r="M27" s="29" t="s">
        <v>696</v>
      </c>
      <c r="N27" s="47">
        <v>4.34</v>
      </c>
      <c r="O27" s="29"/>
      <c r="P27" s="29"/>
      <c r="Q27" s="29"/>
      <c r="R27" s="29"/>
    </row>
    <row r="28" spans="1:18" ht="14.5">
      <c r="A28" s="89">
        <v>20</v>
      </c>
      <c r="B28" s="64" t="str">
        <f>VLOOKUP(A28,ManoObra[],2,FALSE)</f>
        <v>Soldador</v>
      </c>
      <c r="C28" s="65">
        <f>VLOOKUP(A28,ManoObra[],8,FALSE)</f>
        <v>0</v>
      </c>
      <c r="D28" s="52">
        <f>+FP!E27</f>
        <v>0</v>
      </c>
      <c r="E28" s="52"/>
      <c r="F28" s="71">
        <f>F16</f>
        <v>40</v>
      </c>
      <c r="G28" s="51">
        <f>ROUND(C28*D28/F28,0)</f>
        <v>0</v>
      </c>
      <c r="I28" s="47"/>
      <c r="J28" s="47"/>
      <c r="K28" s="47"/>
    </row>
    <row r="29" spans="1:18" ht="14.5">
      <c r="A29" s="89">
        <v>2</v>
      </c>
      <c r="B29" s="64" t="str">
        <f>VLOOKUP(A29,ManoObra[],2,FALSE)</f>
        <v>Ayudante</v>
      </c>
      <c r="C29" s="65">
        <f>VLOOKUP(A29,ManoObra[],8,FALSE)</f>
        <v>0</v>
      </c>
      <c r="D29" s="52">
        <f>+FP!E27</f>
        <v>0</v>
      </c>
      <c r="E29" s="52"/>
      <c r="F29" s="71">
        <f>+F28</f>
        <v>40</v>
      </c>
      <c r="G29" s="51">
        <f>ROUND(C29*D29/F29,0)</f>
        <v>0</v>
      </c>
      <c r="J29" s="29" t="s">
        <v>679</v>
      </c>
      <c r="K29" s="29">
        <f>5*2.5+1.8</f>
        <v>14.3</v>
      </c>
    </row>
    <row r="30" spans="1:18" ht="13">
      <c r="D30" s="47"/>
      <c r="E30" s="47"/>
      <c r="F30" s="61" t="s">
        <v>654</v>
      </c>
      <c r="G30" s="75">
        <f>SUM(G28:G29)</f>
        <v>0</v>
      </c>
      <c r="J30" s="29" t="s">
        <v>681</v>
      </c>
      <c r="K30" s="29">
        <f>5*2.3+2*1.2</f>
        <v>13.9</v>
      </c>
    </row>
    <row r="31" spans="1:18" ht="13">
      <c r="D31" s="47"/>
      <c r="E31" s="47"/>
      <c r="G31" s="55"/>
      <c r="J31" s="29" t="s">
        <v>682</v>
      </c>
      <c r="K31" s="29">
        <f>4*2.4+2*1.2</f>
        <v>12</v>
      </c>
    </row>
    <row r="32" spans="1:18" ht="12.75" customHeight="1">
      <c r="B32" s="47"/>
      <c r="D32" s="652" t="s">
        <v>664</v>
      </c>
      <c r="E32" s="654"/>
      <c r="F32" s="653"/>
      <c r="G32" s="66">
        <f>G12+G18+G24+G30</f>
        <v>0</v>
      </c>
      <c r="J32" s="29" t="s">
        <v>683</v>
      </c>
      <c r="K32" s="29">
        <v>2.4</v>
      </c>
    </row>
    <row r="33" spans="10:14">
      <c r="J33" s="29" t="s">
        <v>684</v>
      </c>
      <c r="K33" s="29">
        <f>4*2.4+1*1</f>
        <v>10.6</v>
      </c>
    </row>
    <row r="34" spans="10:14">
      <c r="J34" s="29" t="s">
        <v>697</v>
      </c>
      <c r="K34" s="29">
        <f>6*5.9+5*3.53</f>
        <v>53.050000000000004</v>
      </c>
    </row>
    <row r="35" spans="10:14">
      <c r="J35" s="29" t="s">
        <v>691</v>
      </c>
      <c r="K35" s="29">
        <f>SUM(K29:K34)</f>
        <v>106.25</v>
      </c>
    </row>
    <row r="36" spans="10:14">
      <c r="J36" s="29" t="s">
        <v>698</v>
      </c>
      <c r="K36" s="29">
        <f>+K35*N27</f>
        <v>461.125</v>
      </c>
    </row>
    <row r="37" spans="10:14">
      <c r="J37" s="29" t="s">
        <v>699</v>
      </c>
      <c r="K37" s="29" t="e">
        <f>+K36/#REF!</f>
        <v>#REF!</v>
      </c>
    </row>
    <row r="41" spans="10:14">
      <c r="J41" s="195" t="s">
        <v>700</v>
      </c>
    </row>
    <row r="42" spans="10:14" ht="13">
      <c r="J42" s="47"/>
      <c r="K42" s="47"/>
    </row>
    <row r="43" spans="10:14" ht="13">
      <c r="J43" s="29" t="s">
        <v>679</v>
      </c>
      <c r="K43" s="29">
        <f>8*2.5+1.8</f>
        <v>21.8</v>
      </c>
      <c r="M43" s="29" t="s">
        <v>696</v>
      </c>
      <c r="N43" s="47">
        <v>3.06</v>
      </c>
    </row>
    <row r="44" spans="10:14">
      <c r="J44" s="29" t="s">
        <v>681</v>
      </c>
      <c r="K44" s="29">
        <f>8*2.3+2*1.2</f>
        <v>20.799999999999997</v>
      </c>
    </row>
    <row r="45" spans="10:14">
      <c r="J45" s="29" t="s">
        <v>682</v>
      </c>
      <c r="K45" s="29">
        <f>6*2.4+2*1.2</f>
        <v>16.799999999999997</v>
      </c>
    </row>
    <row r="46" spans="10:14">
      <c r="J46" s="29" t="s">
        <v>683</v>
      </c>
      <c r="K46" s="29">
        <f>4*2.4</f>
        <v>9.6</v>
      </c>
    </row>
    <row r="47" spans="10:14">
      <c r="J47" s="29" t="s">
        <v>684</v>
      </c>
      <c r="K47" s="29">
        <f>6*2.4+1*1</f>
        <v>15.399999999999999</v>
      </c>
    </row>
    <row r="48" spans="10:14">
      <c r="J48" s="29" t="s">
        <v>697</v>
      </c>
      <c r="K48" s="29">
        <f>2*5.9+2*3.53</f>
        <v>18.86</v>
      </c>
    </row>
    <row r="49" spans="10:15">
      <c r="J49" s="29" t="s">
        <v>691</v>
      </c>
      <c r="K49" s="29">
        <f>SUM(K43:K48)</f>
        <v>103.25999999999998</v>
      </c>
    </row>
    <row r="50" spans="10:15">
      <c r="J50" s="29" t="s">
        <v>698</v>
      </c>
      <c r="K50" s="29">
        <f>+K49*N43</f>
        <v>315.97559999999993</v>
      </c>
    </row>
    <row r="51" spans="10:15">
      <c r="J51" s="29" t="s">
        <v>699</v>
      </c>
      <c r="K51" s="29" t="e">
        <f>+K50/#REF!</f>
        <v>#REF!</v>
      </c>
    </row>
    <row r="54" spans="10:15">
      <c r="J54" s="29" t="s">
        <v>701</v>
      </c>
    </row>
    <row r="55" spans="10:15" ht="52">
      <c r="J55" s="185" t="s">
        <v>474</v>
      </c>
      <c r="K55" s="184">
        <f>15*0.2*0.2</f>
        <v>0.60000000000000009</v>
      </c>
      <c r="L55" s="184">
        <v>4.0000000000000001E-3</v>
      </c>
      <c r="M55" s="184">
        <v>7850</v>
      </c>
      <c r="N55" s="186">
        <f>+K55*L55*M55</f>
        <v>18.840000000000003</v>
      </c>
      <c r="O55" s="29" t="e">
        <f>+N55/#REF!</f>
        <v>#REF!</v>
      </c>
    </row>
    <row r="56" spans="10:15" ht="39">
      <c r="J56" s="185" t="s">
        <v>422</v>
      </c>
      <c r="K56" s="184">
        <f>15*4</f>
        <v>60</v>
      </c>
      <c r="L56" s="184">
        <f>8*0.0254</f>
        <v>0.20319999999999999</v>
      </c>
      <c r="M56" s="184">
        <v>0.55600000000000005</v>
      </c>
      <c r="N56" s="186">
        <f>+L56*K56*M56</f>
        <v>6.7787520000000008</v>
      </c>
      <c r="O56" s="29" t="e">
        <f>+N56/#REF!</f>
        <v>#REF!</v>
      </c>
    </row>
    <row r="59" spans="10:15">
      <c r="J59" s="29" t="s">
        <v>697</v>
      </c>
    </row>
    <row r="61" spans="10:15" ht="15">
      <c r="J61" s="183" t="s">
        <v>426</v>
      </c>
      <c r="K61" s="183" t="s">
        <v>396</v>
      </c>
      <c r="L61" s="183" t="s">
        <v>415</v>
      </c>
      <c r="M61" s="183" t="s">
        <v>427</v>
      </c>
    </row>
    <row r="62" spans="10:15" ht="13">
      <c r="J62" s="184">
        <v>1</v>
      </c>
      <c r="K62" s="184">
        <v>3.86</v>
      </c>
      <c r="L62" s="184">
        <v>5.97</v>
      </c>
      <c r="M62" s="184">
        <f>+J62*K62*L62</f>
        <v>23.0442</v>
      </c>
    </row>
    <row r="63" spans="10:15">
      <c r="M63" s="29" t="e">
        <f>+M62/#REF!</f>
        <v>#REF!</v>
      </c>
    </row>
    <row r="70" spans="10:11">
      <c r="J70" s="29" t="s">
        <v>702</v>
      </c>
    </row>
    <row r="72" spans="10:11">
      <c r="J72" s="29" t="s">
        <v>685</v>
      </c>
      <c r="K72" s="29">
        <f>1.8*2</f>
        <v>3.6</v>
      </c>
    </row>
    <row r="73" spans="10:11">
      <c r="J73" s="29" t="s">
        <v>686</v>
      </c>
      <c r="K73" s="29">
        <f>1*2</f>
        <v>2</v>
      </c>
    </row>
    <row r="74" spans="10:11">
      <c r="J74" s="29" t="s">
        <v>687</v>
      </c>
      <c r="K74" s="29">
        <f>0.4*1.2</f>
        <v>0.48</v>
      </c>
    </row>
    <row r="75" spans="10:11">
      <c r="J75" s="29" t="s">
        <v>688</v>
      </c>
      <c r="K75" s="29">
        <f>0.4*1.2</f>
        <v>0.48</v>
      </c>
    </row>
    <row r="76" spans="10:11">
      <c r="J76" s="29" t="s">
        <v>689</v>
      </c>
      <c r="K76" s="29">
        <f>0.4*0.4</f>
        <v>0.16000000000000003</v>
      </c>
    </row>
    <row r="77" spans="10:11">
      <c r="J77" s="29" t="s">
        <v>690</v>
      </c>
      <c r="K77" s="29">
        <f>0.4*0.4</f>
        <v>0.16000000000000003</v>
      </c>
    </row>
    <row r="78" spans="10:11">
      <c r="J78" s="29" t="s">
        <v>691</v>
      </c>
      <c r="K78" s="29">
        <f>SUM(K72:K77)</f>
        <v>6.8800000000000008</v>
      </c>
    </row>
    <row r="79" spans="10:11">
      <c r="J79" s="29" t="s">
        <v>703</v>
      </c>
      <c r="K79" s="29" t="e">
        <f>+K78/#REF!</f>
        <v>#REF!</v>
      </c>
    </row>
  </sheetData>
  <mergeCells count="3">
    <mergeCell ref="B1:G1"/>
    <mergeCell ref="B4:E4"/>
    <mergeCell ref="D32:F32"/>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3BC9C-30FB-4656-9812-4D5850A37C11}">
  <sheetPr>
    <tabColor theme="4" tint="0.59999389629810485"/>
    <pageSetUpPr fitToPage="1"/>
  </sheetPr>
  <dimension ref="A1:G38"/>
  <sheetViews>
    <sheetView showGridLines="0" view="pageBreakPreview" zoomScale="80" zoomScaleNormal="120" zoomScaleSheetLayoutView="80" workbookViewId="0">
      <selection activeCell="A4" sqref="A4:A39"/>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KW'!A30</f>
        <v>3.2.10</v>
      </c>
      <c r="D3" s="31"/>
      <c r="E3" s="31"/>
      <c r="F3" s="31"/>
      <c r="G3" s="32" t="s">
        <v>652</v>
      </c>
    </row>
    <row r="4" spans="1:7" ht="43.15" customHeight="1">
      <c r="B4" s="649" t="str">
        <f>+'PRES MR 5 KW'!B30</f>
        <v xml:space="preserve">Suministro, transporte e instalación de canales y bajantes en PVC incluye tapas, uniones, bajantes y soportes  y demas elementos para su debida instalacion, </v>
      </c>
      <c r="C4" s="655"/>
      <c r="D4" s="655"/>
      <c r="E4" s="656"/>
      <c r="G4" s="33" t="str">
        <f>+'PRES MR 5 KW'!C30</f>
        <v>GL</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439</v>
      </c>
      <c r="B8" s="69" t="str">
        <f>VLOOKUP(A8,Materiales3[],3,FALSE)</f>
        <v>Canal Raingo de PAVCO o similar - Blanca</v>
      </c>
      <c r="C8" s="40" t="str">
        <f>VLOOKUP(A8,Materiales3[],4,FALSE)</f>
        <v>m</v>
      </c>
      <c r="D8" s="40">
        <v>5.5</v>
      </c>
      <c r="E8" s="194">
        <f>VLOOKUP(A8,Materiales3[],5,FALSE)*D8</f>
        <v>1.65</v>
      </c>
      <c r="F8" s="42">
        <f>VLOOKUP(A8,Materiales3[],6,FALSE)</f>
        <v>0</v>
      </c>
      <c r="G8" s="42">
        <f t="shared" ref="G8:G17" si="0">D8*F8</f>
        <v>0</v>
      </c>
    </row>
    <row r="9" spans="1:7" ht="14.5">
      <c r="A9" s="89">
        <v>440</v>
      </c>
      <c r="B9" s="69" t="str">
        <f>VLOOKUP(A9,Materiales3[],3,FALSE)</f>
        <v xml:space="preserve">Tapa externa Canal Raingo de PAVCO o similar </v>
      </c>
      <c r="C9" s="40" t="str">
        <f>VLOOKUP(A9,Materiales3[],4,FALSE)</f>
        <v>UN</v>
      </c>
      <c r="D9" s="40">
        <v>2</v>
      </c>
      <c r="E9" s="194">
        <f>VLOOKUP(A9,Materiales3[],5,FALSE)*D9</f>
        <v>0.2</v>
      </c>
      <c r="F9" s="42">
        <f>VLOOKUP(A9,Materiales3[],6,FALSE)</f>
        <v>0</v>
      </c>
      <c r="G9" s="42">
        <f t="shared" ref="G9:G16" si="1">D9*F9</f>
        <v>0</v>
      </c>
    </row>
    <row r="10" spans="1:7" ht="14.5">
      <c r="A10" s="89">
        <v>441</v>
      </c>
      <c r="B10" s="69" t="str">
        <f>VLOOKUP(A10,Materiales3[],3,FALSE)</f>
        <v>Unión bajante-Canal Raingo de PAVCO o similar</v>
      </c>
      <c r="C10" s="40" t="str">
        <f>VLOOKUP(A10,Materiales3[],4,FALSE)</f>
        <v>UN</v>
      </c>
      <c r="D10" s="40">
        <v>2</v>
      </c>
      <c r="E10" s="194">
        <f>VLOOKUP(A10,Materiales3[],5,FALSE)*D10</f>
        <v>0.6</v>
      </c>
      <c r="F10" s="42">
        <f>VLOOKUP(A10,Materiales3[],6,FALSE)</f>
        <v>0</v>
      </c>
      <c r="G10" s="42">
        <f t="shared" si="1"/>
        <v>0</v>
      </c>
    </row>
    <row r="11" spans="1:7" ht="14.5">
      <c r="A11" s="89">
        <v>442</v>
      </c>
      <c r="B11" s="69" t="str">
        <f>VLOOKUP(A11,Materiales3[],3,FALSE)</f>
        <v>Unión Canal Raingo de PAVCO o similar</v>
      </c>
      <c r="C11" s="40" t="str">
        <f>VLOOKUP(A11,Materiales3[],4,FALSE)</f>
        <v>UN</v>
      </c>
      <c r="D11" s="40">
        <v>1</v>
      </c>
      <c r="E11" s="194">
        <f>VLOOKUP(A11,Materiales3[],5,FALSE)*D11</f>
        <v>0.2</v>
      </c>
      <c r="F11" s="42">
        <f>VLOOKUP(A11,Materiales3[],6,FALSE)</f>
        <v>0</v>
      </c>
      <c r="G11" s="42">
        <f t="shared" si="1"/>
        <v>0</v>
      </c>
    </row>
    <row r="12" spans="1:7" ht="14.5">
      <c r="A12" s="89">
        <v>443</v>
      </c>
      <c r="B12" s="69" t="str">
        <f>VLOOKUP(A12,Materiales3[],3,FALSE)</f>
        <v>Unión bajante Canal Raingo de PAVCO o similar</v>
      </c>
      <c r="C12" s="40" t="str">
        <f>VLOOKUP(A12,Materiales3[],4,FALSE)</f>
        <v>UN</v>
      </c>
      <c r="D12" s="40">
        <v>2</v>
      </c>
      <c r="E12" s="194">
        <f>VLOOKUP(A12,Materiales3[],5,FALSE)*D12</f>
        <v>0.1</v>
      </c>
      <c r="F12" s="42">
        <f>VLOOKUP(A12,Materiales3[],6,FALSE)</f>
        <v>0</v>
      </c>
      <c r="G12" s="42">
        <f t="shared" si="1"/>
        <v>0</v>
      </c>
    </row>
    <row r="13" spans="1:7" ht="14.5">
      <c r="A13" s="89">
        <v>444</v>
      </c>
      <c r="B13" s="69" t="str">
        <f>VLOOKUP(A13,Materiales3[],3,FALSE)</f>
        <v>Bajante blanca 3 metros</v>
      </c>
      <c r="C13" s="40" t="str">
        <f>VLOOKUP(A13,Materiales3[],4,FALSE)</f>
        <v>m</v>
      </c>
      <c r="D13" s="40">
        <v>4.5999999999999996</v>
      </c>
      <c r="E13" s="194">
        <f>VLOOKUP(A13,Materiales3[],5,FALSE)*D13</f>
        <v>3.4499999999999997</v>
      </c>
      <c r="F13" s="42">
        <f>VLOOKUP(A13,Materiales3[],6,FALSE)</f>
        <v>0</v>
      </c>
      <c r="G13" s="42">
        <f t="shared" si="1"/>
        <v>0</v>
      </c>
    </row>
    <row r="14" spans="1:7" ht="14.5">
      <c r="A14" s="89">
        <v>445</v>
      </c>
      <c r="B14" s="69" t="str">
        <f>VLOOKUP(A14,Materiales3[],3,FALSE)</f>
        <v>Soporte canal pvc raingo</v>
      </c>
      <c r="C14" s="40" t="str">
        <f>VLOOKUP(A14,Materiales3[],4,FALSE)</f>
        <v>UN</v>
      </c>
      <c r="D14" s="40">
        <f>+ROUNDUP(D8*1,0)</f>
        <v>6</v>
      </c>
      <c r="E14" s="194">
        <f>VLOOKUP(A14,Materiales3[],5,FALSE)*D14</f>
        <v>0.44999999999999996</v>
      </c>
      <c r="F14" s="42">
        <f>VLOOKUP(A14,Materiales3[],6,FALSE)</f>
        <v>0</v>
      </c>
      <c r="G14" s="42">
        <f t="shared" si="1"/>
        <v>0</v>
      </c>
    </row>
    <row r="15" spans="1:7" ht="14.5">
      <c r="A15" s="89">
        <v>446</v>
      </c>
      <c r="B15" s="69" t="str">
        <f>VLOOKUP(A15,Materiales3[],3,FALSE)</f>
        <v>Soporte bajante</v>
      </c>
      <c r="C15" s="40" t="str">
        <f>VLOOKUP(A15,Materiales3[],4,FALSE)</f>
        <v>UN</v>
      </c>
      <c r="D15" s="40">
        <v>4</v>
      </c>
      <c r="E15" s="194">
        <f>VLOOKUP(A15,Materiales3[],5,FALSE)*D15</f>
        <v>0.3</v>
      </c>
      <c r="F15" s="42">
        <f>VLOOKUP(A15,Materiales3[],6,FALSE)</f>
        <v>0</v>
      </c>
      <c r="G15" s="42">
        <f t="shared" si="1"/>
        <v>0</v>
      </c>
    </row>
    <row r="16" spans="1:7" ht="14.5">
      <c r="A16" s="89">
        <v>447</v>
      </c>
      <c r="B16" s="69" t="str">
        <f>VLOOKUP(A16,Materiales3[],3,FALSE)</f>
        <v>Codo 45° bajante</v>
      </c>
      <c r="C16" s="40" t="str">
        <f>VLOOKUP(A16,Materiales3[],4,FALSE)</f>
        <v>UN</v>
      </c>
      <c r="D16" s="40">
        <v>6</v>
      </c>
      <c r="E16" s="194">
        <f>VLOOKUP(A16,Materiales3[],5,FALSE)*D16</f>
        <v>0.89999999999999991</v>
      </c>
      <c r="F16" s="42">
        <f>VLOOKUP(A16,Materiales3[],6,FALSE)</f>
        <v>0</v>
      </c>
      <c r="G16" s="42">
        <f t="shared" si="1"/>
        <v>0</v>
      </c>
    </row>
    <row r="17" spans="1:7" ht="14.5">
      <c r="A17" s="89">
        <v>141</v>
      </c>
      <c r="B17" s="69" t="str">
        <f>VLOOKUP(A17,Materiales3[],3,FALSE)</f>
        <v>Tornillo autoperforante de cabeza estrella 1/4" x 1/4"</v>
      </c>
      <c r="C17" s="40" t="str">
        <f>VLOOKUP(A17,Materiales3[],4,FALSE)</f>
        <v>UN</v>
      </c>
      <c r="D17" s="40">
        <f>+(D14+D15)*2</f>
        <v>20</v>
      </c>
      <c r="E17" s="194">
        <f>VLOOKUP(A17,Materiales3[],5,FALSE)*D17</f>
        <v>0.1</v>
      </c>
      <c r="F17" s="42">
        <f>VLOOKUP(A17,Materiales3[],6,FALSE)</f>
        <v>0</v>
      </c>
      <c r="G17" s="42">
        <f t="shared" si="0"/>
        <v>0</v>
      </c>
    </row>
    <row r="18" spans="1:7" ht="13">
      <c r="D18" s="47"/>
      <c r="E18" s="47"/>
      <c r="F18" s="48" t="s">
        <v>654</v>
      </c>
      <c r="G18" s="49">
        <f>SUM(G8:G17)</f>
        <v>0</v>
      </c>
    </row>
    <row r="19" spans="1:7">
      <c r="G19" s="73"/>
    </row>
    <row r="20" spans="1:7" ht="13">
      <c r="B20" s="50" t="s">
        <v>655</v>
      </c>
      <c r="G20" s="74"/>
    </row>
    <row r="21" spans="1:7" ht="13">
      <c r="A21" s="88" t="s">
        <v>138</v>
      </c>
      <c r="B21" s="37" t="s">
        <v>19</v>
      </c>
      <c r="C21" s="38" t="s">
        <v>665</v>
      </c>
      <c r="D21" s="38" t="s">
        <v>656</v>
      </c>
      <c r="E21" s="38"/>
      <c r="F21" s="38" t="s">
        <v>21</v>
      </c>
      <c r="G21" s="38" t="s">
        <v>286</v>
      </c>
    </row>
    <row r="22" spans="1:7" ht="14.5">
      <c r="A22" s="89">
        <v>1</v>
      </c>
      <c r="B22" s="43" t="str">
        <f>VLOOKUP(A22,Equipoyherramienta[],2,FALSE)</f>
        <v>Herramienta menor</v>
      </c>
      <c r="C22" s="44" t="str">
        <f>VLOOKUP(A22,Equipoyherramienta[],3,FALSE)</f>
        <v>UN</v>
      </c>
      <c r="D22" s="51">
        <f>VLOOKUP(A22,Equipoyherramienta[],4,FALSE)</f>
        <v>0</v>
      </c>
      <c r="E22" s="51"/>
      <c r="F22" s="71">
        <v>3</v>
      </c>
      <c r="G22" s="51">
        <f>ROUND(D22/F22,0)</f>
        <v>0</v>
      </c>
    </row>
    <row r="23" spans="1:7" ht="14.5">
      <c r="A23" s="89"/>
      <c r="B23" s="43"/>
      <c r="C23" s="44"/>
      <c r="D23" s="51"/>
      <c r="E23" s="51"/>
      <c r="F23" s="71"/>
      <c r="G23" s="51"/>
    </row>
    <row r="24" spans="1:7" ht="13">
      <c r="D24" s="47"/>
      <c r="E24" s="47"/>
      <c r="F24" s="48" t="s">
        <v>654</v>
      </c>
      <c r="G24" s="49">
        <f>SUM(G22:G23)</f>
        <v>0</v>
      </c>
    </row>
    <row r="25" spans="1:7" ht="13">
      <c r="D25" s="47"/>
      <c r="E25" s="47"/>
      <c r="F25" s="47"/>
      <c r="G25" s="54"/>
    </row>
    <row r="26" spans="1:7" ht="13">
      <c r="B26" s="36" t="s">
        <v>657</v>
      </c>
      <c r="G26" s="55"/>
    </row>
    <row r="27" spans="1:7" ht="13">
      <c r="A27" s="88" t="s">
        <v>138</v>
      </c>
      <c r="B27" s="37" t="s">
        <v>19</v>
      </c>
      <c r="C27" s="38" t="s">
        <v>284</v>
      </c>
      <c r="D27" s="38" t="s">
        <v>410</v>
      </c>
      <c r="E27" s="38"/>
      <c r="F27" s="38" t="s">
        <v>666</v>
      </c>
      <c r="G27" s="56" t="s">
        <v>286</v>
      </c>
    </row>
    <row r="28" spans="1:7" ht="50">
      <c r="A28" s="89">
        <v>6</v>
      </c>
      <c r="B28" s="57" t="str">
        <f>VLOOKUP(A28,Transp.[],2,FALSE)</f>
        <v>Carga terrestre desde Barranquilla hasta Usuario, incluye cargues, descargues, cruces de río, transporte semoviente, transporte en vehículo de carga pesada y cualquier otro tranposte.</v>
      </c>
      <c r="C28" s="40" t="s">
        <v>667</v>
      </c>
      <c r="D28" s="41">
        <f>SUM(E8:E17)</f>
        <v>7.9499999999999993</v>
      </c>
      <c r="E28" s="41"/>
      <c r="F28" s="59">
        <f>VLOOKUP(A28,Transp.[],6,FALSE)</f>
        <v>0</v>
      </c>
      <c r="G28" s="59">
        <f>D28*F28</f>
        <v>0</v>
      </c>
    </row>
    <row r="29" spans="1:7" ht="13.15" customHeight="1">
      <c r="A29" s="89"/>
      <c r="B29" s="57"/>
      <c r="C29" s="40"/>
      <c r="D29" s="41"/>
      <c r="E29" s="41"/>
      <c r="F29" s="59"/>
      <c r="G29" s="59"/>
    </row>
    <row r="30" spans="1:7" ht="13">
      <c r="D30" s="47"/>
      <c r="E30" s="47"/>
      <c r="F30" s="61" t="s">
        <v>654</v>
      </c>
      <c r="G30" s="49">
        <f>SUM(G28:G29)</f>
        <v>0</v>
      </c>
    </row>
    <row r="32" spans="1:7" ht="13">
      <c r="B32" s="36" t="s">
        <v>661</v>
      </c>
      <c r="D32" s="62"/>
      <c r="E32" s="62"/>
      <c r="F32" s="63"/>
      <c r="G32" s="55"/>
    </row>
    <row r="33" spans="1:7" s="47" customFormat="1" ht="13">
      <c r="A33" s="88" t="s">
        <v>138</v>
      </c>
      <c r="B33" s="38" t="s">
        <v>19</v>
      </c>
      <c r="C33" s="38" t="s">
        <v>662</v>
      </c>
      <c r="D33" s="38" t="s">
        <v>663</v>
      </c>
      <c r="E33" s="38"/>
      <c r="F33" s="38" t="s">
        <v>21</v>
      </c>
      <c r="G33" s="56" t="s">
        <v>286</v>
      </c>
    </row>
    <row r="34" spans="1:7" ht="14.5">
      <c r="A34" s="89">
        <v>4</v>
      </c>
      <c r="B34" s="64" t="str">
        <f>VLOOKUP(A34,ManoObra[],2,FALSE)</f>
        <v>Oficial de obra</v>
      </c>
      <c r="C34" s="65">
        <f>VLOOKUP(A34,ManoObra[],8,FALSE)</f>
        <v>0</v>
      </c>
      <c r="D34" s="52">
        <f>+FP!E27</f>
        <v>0</v>
      </c>
      <c r="E34" s="52"/>
      <c r="F34" s="71">
        <f>F22</f>
        <v>3</v>
      </c>
      <c r="G34" s="51">
        <f>ROUND(C34*D34/F34,0)</f>
        <v>0</v>
      </c>
    </row>
    <row r="35" spans="1:7" ht="14.5">
      <c r="A35" s="89">
        <v>2</v>
      </c>
      <c r="B35" s="64" t="str">
        <f>VLOOKUP(A35,ManoObra[],2,FALSE)</f>
        <v>Ayudante</v>
      </c>
      <c r="C35" s="65">
        <f>VLOOKUP(A35,ManoObra[],8,FALSE)</f>
        <v>0</v>
      </c>
      <c r="D35" s="52">
        <f>+FP!E27</f>
        <v>0</v>
      </c>
      <c r="E35" s="52"/>
      <c r="F35" s="71">
        <f>+F34</f>
        <v>3</v>
      </c>
      <c r="G35" s="51">
        <f>ROUND(C35*D35/F35,0)</f>
        <v>0</v>
      </c>
    </row>
    <row r="36" spans="1:7" ht="13">
      <c r="D36" s="47"/>
      <c r="E36" s="47"/>
      <c r="F36" s="61" t="s">
        <v>654</v>
      </c>
      <c r="G36" s="75">
        <f>SUM(G34:G35)</f>
        <v>0</v>
      </c>
    </row>
    <row r="37" spans="1:7" ht="13">
      <c r="D37" s="47"/>
      <c r="E37" s="47"/>
      <c r="G37" s="55"/>
    </row>
    <row r="38" spans="1:7" ht="12.75" customHeight="1">
      <c r="B38" s="47"/>
      <c r="D38" s="652" t="s">
        <v>664</v>
      </c>
      <c r="E38" s="654"/>
      <c r="F38" s="653"/>
      <c r="G38" s="66">
        <f>G18+G24+G30+G36</f>
        <v>0</v>
      </c>
    </row>
  </sheetData>
  <mergeCells count="3">
    <mergeCell ref="B1:G1"/>
    <mergeCell ref="B4:E4"/>
    <mergeCell ref="D38:F3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38E0-A8AA-4FD0-BF70-301DD345AA36}">
  <sheetPr>
    <tabColor theme="4" tint="0.59999389629810485"/>
    <pageSetUpPr fitToPage="1"/>
  </sheetPr>
  <dimension ref="A1:G30"/>
  <sheetViews>
    <sheetView showGridLines="0" view="pageBreakPreview" topLeftCell="A13" zoomScale="80" zoomScaleNormal="120" zoomScaleSheetLayoutView="80" workbookViewId="0">
      <selection activeCell="A4" sqref="A4:A30"/>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KW'!A31</f>
        <v>3.2.11</v>
      </c>
      <c r="D3" s="31"/>
      <c r="E3" s="31"/>
      <c r="F3" s="31"/>
      <c r="G3" s="32" t="s">
        <v>652</v>
      </c>
    </row>
    <row r="4" spans="1:7" ht="93.65" customHeight="1">
      <c r="B4" s="649" t="str">
        <f>+'PRES MR 5 KW'!B31</f>
        <v xml:space="preserve">Suministro, transporte e instalación de lámina microperforada calibre 18 para muro de equipos, fabricada en acero de alta resistencia con perforaciones uniformes y acabado en pintura electrostática. Las láminas deberán tener los bordes rematados y pintados, sin filos cortantes, garantizando seguridad en el manejo e instalación. Se incluye toda la tornillería y accesorios necesarios para su correcta fijación. Dimensiones de cada panel: 1,00 m x 0,75 m. </v>
      </c>
      <c r="C4" s="655"/>
      <c r="D4" s="655"/>
      <c r="E4" s="656"/>
      <c r="G4" s="33" t="str">
        <f>+'PRES MR 5 KW'!C31</f>
        <v>UND</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448</v>
      </c>
      <c r="B8" s="69" t="str">
        <f>VLOOKUP(A8,Materiales3[],3,FALSE)</f>
        <v>Lamina perforada fabricada en lámina metálica cl 18</v>
      </c>
      <c r="C8" s="40" t="str">
        <f>VLOOKUP(A8,Materiales3[],4,FALSE)</f>
        <v>m2</v>
      </c>
      <c r="D8" s="40">
        <f>1*0.75</f>
        <v>0.75</v>
      </c>
      <c r="E8" s="194">
        <f>VLOOKUP(A8,Materiales3[],5,FALSE)*D8</f>
        <v>5.8020000000000005</v>
      </c>
      <c r="F8" s="42">
        <f>VLOOKUP(A8,Materiales3[],6,FALSE)</f>
        <v>0</v>
      </c>
      <c r="G8" s="42">
        <f t="shared" ref="G8:G9" si="0">D8*F8</f>
        <v>0</v>
      </c>
    </row>
    <row r="9" spans="1:7" ht="14.5">
      <c r="A9" s="89">
        <v>141</v>
      </c>
      <c r="B9" s="69" t="str">
        <f>VLOOKUP(A9,Materiales3[],3,FALSE)</f>
        <v>Tornillo autoperforante de cabeza estrella 1/4" x 1/4"</v>
      </c>
      <c r="C9" s="40" t="str">
        <f>VLOOKUP(A9,Materiales3[],4,FALSE)</f>
        <v>UN</v>
      </c>
      <c r="D9" s="40">
        <v>8</v>
      </c>
      <c r="E9" s="194">
        <f>VLOOKUP(A9,Materiales3[],5,FALSE)*D9</f>
        <v>0.04</v>
      </c>
      <c r="F9" s="42">
        <f>VLOOKUP(A9,Materiales3[],6,FALSE)</f>
        <v>0</v>
      </c>
      <c r="G9" s="42">
        <f t="shared" si="0"/>
        <v>0</v>
      </c>
    </row>
    <row r="10" spans="1:7" ht="13">
      <c r="D10" s="47"/>
      <c r="E10" s="47"/>
      <c r="F10" s="48" t="s">
        <v>654</v>
      </c>
      <c r="G10" s="49">
        <f>SUM(G8:G9)</f>
        <v>0</v>
      </c>
    </row>
    <row r="11" spans="1:7">
      <c r="G11" s="73"/>
    </row>
    <row r="12" spans="1:7" ht="13">
      <c r="B12" s="50" t="s">
        <v>655</v>
      </c>
      <c r="G12" s="74"/>
    </row>
    <row r="13" spans="1:7" ht="13">
      <c r="A13" s="88" t="s">
        <v>138</v>
      </c>
      <c r="B13" s="37" t="s">
        <v>19</v>
      </c>
      <c r="C13" s="38" t="s">
        <v>665</v>
      </c>
      <c r="D13" s="38" t="s">
        <v>656</v>
      </c>
      <c r="E13" s="38"/>
      <c r="F13" s="38" t="s">
        <v>21</v>
      </c>
      <c r="G13" s="38" t="s">
        <v>286</v>
      </c>
    </row>
    <row r="14" spans="1:7" ht="14.5">
      <c r="A14" s="89">
        <v>1</v>
      </c>
      <c r="B14" s="43" t="str">
        <f>VLOOKUP(A14,Equipoyherramienta[],2,FALSE)</f>
        <v>Herramienta menor</v>
      </c>
      <c r="C14" s="44" t="str">
        <f>VLOOKUP(A14,Equipoyherramienta[],3,FALSE)</f>
        <v>UN</v>
      </c>
      <c r="D14" s="51">
        <f>VLOOKUP(A14,Equipoyherramienta[],4,FALSE)</f>
        <v>0</v>
      </c>
      <c r="E14" s="51"/>
      <c r="F14" s="71">
        <v>30</v>
      </c>
      <c r="G14" s="51">
        <f>ROUND(D14/F14,0)</f>
        <v>0</v>
      </c>
    </row>
    <row r="15" spans="1:7" ht="14.5">
      <c r="A15" s="89"/>
      <c r="B15" s="43"/>
      <c r="C15" s="44"/>
      <c r="D15" s="51"/>
      <c r="E15" s="51"/>
      <c r="F15" s="71"/>
      <c r="G15" s="51"/>
    </row>
    <row r="16" spans="1:7" ht="13">
      <c r="D16" s="47"/>
      <c r="E16" s="47"/>
      <c r="F16" s="48" t="s">
        <v>654</v>
      </c>
      <c r="G16" s="49">
        <f>SUM(G14:G15)</f>
        <v>0</v>
      </c>
    </row>
    <row r="17" spans="1:7" ht="13">
      <c r="D17" s="47"/>
      <c r="E17" s="47"/>
      <c r="F17" s="47"/>
      <c r="G17" s="54"/>
    </row>
    <row r="18" spans="1:7" ht="13">
      <c r="B18" s="36" t="s">
        <v>657</v>
      </c>
      <c r="G18" s="55"/>
    </row>
    <row r="19" spans="1:7" ht="13">
      <c r="A19" s="88" t="s">
        <v>138</v>
      </c>
      <c r="B19" s="37" t="s">
        <v>19</v>
      </c>
      <c r="C19" s="38" t="s">
        <v>284</v>
      </c>
      <c r="D19" s="38" t="s">
        <v>410</v>
      </c>
      <c r="E19" s="38"/>
      <c r="F19" s="38" t="s">
        <v>666</v>
      </c>
      <c r="G19" s="56" t="s">
        <v>286</v>
      </c>
    </row>
    <row r="20" spans="1:7" ht="50">
      <c r="A20" s="89">
        <v>6</v>
      </c>
      <c r="B20" s="57" t="str">
        <f>VLOOKUP(A20,Transp.[],2,FALSE)</f>
        <v>Carga terrestre desde Barranquilla hasta Usuario, incluye cargues, descargues, cruces de río, transporte semoviente, transporte en vehículo de carga pesada y cualquier otro tranposte.</v>
      </c>
      <c r="C20" s="40" t="s">
        <v>667</v>
      </c>
      <c r="D20" s="41">
        <f>SUM(E8:E9)</f>
        <v>5.8420000000000005</v>
      </c>
      <c r="E20" s="41"/>
      <c r="F20" s="59">
        <f>VLOOKUP(A20,Transp.[],6,FALSE)</f>
        <v>0</v>
      </c>
      <c r="G20" s="59">
        <f>D20*F20</f>
        <v>0</v>
      </c>
    </row>
    <row r="21" spans="1:7" ht="13.15" customHeight="1">
      <c r="A21" s="89"/>
      <c r="B21" s="57"/>
      <c r="C21" s="40"/>
      <c r="D21" s="41"/>
      <c r="E21" s="41"/>
      <c r="F21" s="59"/>
      <c r="G21" s="59"/>
    </row>
    <row r="22" spans="1:7" ht="13">
      <c r="D22" s="47"/>
      <c r="E22" s="47"/>
      <c r="F22" s="61" t="s">
        <v>654</v>
      </c>
      <c r="G22" s="49">
        <f>SUM(G20:G21)</f>
        <v>0</v>
      </c>
    </row>
    <row r="24" spans="1:7" ht="13">
      <c r="B24" s="36" t="s">
        <v>661</v>
      </c>
      <c r="D24" s="62"/>
      <c r="E24" s="62"/>
      <c r="F24" s="63"/>
      <c r="G24" s="55"/>
    </row>
    <row r="25" spans="1:7" s="47" customFormat="1" ht="13">
      <c r="A25" s="88" t="s">
        <v>138</v>
      </c>
      <c r="B25" s="38" t="s">
        <v>19</v>
      </c>
      <c r="C25" s="38" t="s">
        <v>662</v>
      </c>
      <c r="D25" s="38" t="s">
        <v>663</v>
      </c>
      <c r="E25" s="38"/>
      <c r="F25" s="38" t="s">
        <v>21</v>
      </c>
      <c r="G25" s="56" t="s">
        <v>286</v>
      </c>
    </row>
    <row r="26" spans="1:7" ht="14.5">
      <c r="A26" s="89">
        <v>4</v>
      </c>
      <c r="B26" s="64" t="str">
        <f>VLOOKUP(A26,ManoObra[],2,FALSE)</f>
        <v>Oficial de obra</v>
      </c>
      <c r="C26" s="65">
        <f>VLOOKUP(A26,ManoObra[],8,FALSE)</f>
        <v>0</v>
      </c>
      <c r="D26" s="52">
        <f>+FP!E27</f>
        <v>0</v>
      </c>
      <c r="E26" s="52"/>
      <c r="F26" s="71">
        <f>F14</f>
        <v>30</v>
      </c>
      <c r="G26" s="51">
        <f>ROUND(C26*D26/F26,0)</f>
        <v>0</v>
      </c>
    </row>
    <row r="27" spans="1:7" ht="14.5">
      <c r="A27" s="89">
        <v>2</v>
      </c>
      <c r="B27" s="64" t="str">
        <f>VLOOKUP(A27,ManoObra[],2,FALSE)</f>
        <v>Ayudante</v>
      </c>
      <c r="C27" s="65">
        <f>VLOOKUP(A27,ManoObra[],8,FALSE)</f>
        <v>0</v>
      </c>
      <c r="D27" s="52">
        <f>+FP!E27</f>
        <v>0</v>
      </c>
      <c r="E27" s="52"/>
      <c r="F27" s="71">
        <f>+F26</f>
        <v>30</v>
      </c>
      <c r="G27" s="51">
        <f>ROUND(C27*D27/F27,0)</f>
        <v>0</v>
      </c>
    </row>
    <row r="28" spans="1:7" ht="13">
      <c r="D28" s="47"/>
      <c r="E28" s="47"/>
      <c r="F28" s="61" t="s">
        <v>654</v>
      </c>
      <c r="G28" s="75">
        <f>SUM(G26:G27)</f>
        <v>0</v>
      </c>
    </row>
    <row r="29" spans="1:7" ht="13">
      <c r="D29" s="47"/>
      <c r="E29" s="47"/>
      <c r="G29" s="55"/>
    </row>
    <row r="30" spans="1:7" ht="12.75" customHeight="1">
      <c r="B30" s="47"/>
      <c r="D30" s="652" t="s">
        <v>664</v>
      </c>
      <c r="E30" s="654"/>
      <c r="F30" s="653"/>
      <c r="G30" s="66">
        <f>G10+G16+G22+G28</f>
        <v>0</v>
      </c>
    </row>
  </sheetData>
  <mergeCells count="3">
    <mergeCell ref="B1:G1"/>
    <mergeCell ref="B4:E4"/>
    <mergeCell ref="D30:F30"/>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BF69E-8B7C-4798-AB2B-E7DAA0D5DE86}">
  <sheetPr>
    <tabColor theme="4" tint="0.59999389629810485"/>
    <pageSetUpPr fitToPage="1"/>
  </sheetPr>
  <dimension ref="A1:G43"/>
  <sheetViews>
    <sheetView showGridLines="0" view="pageBreakPreview" zoomScale="80" zoomScaleNormal="120" zoomScaleSheetLayoutView="80" workbookViewId="0">
      <selection activeCell="A4" sqref="A4:A43"/>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MR 5 KW'!A32</f>
        <v>3.2.12</v>
      </c>
      <c r="D3" s="31"/>
      <c r="E3" s="31"/>
      <c r="F3" s="31"/>
      <c r="G3" s="32" t="s">
        <v>652</v>
      </c>
    </row>
    <row r="4" spans="1:7" ht="133.15" customHeight="1">
      <c r="B4" s="649" t="str">
        <f>+'PRES MR 5 KW'!B32</f>
        <v>Construcción de cerramiento en malla eslabonada. Incluye pisamalla en platina 3/8” x 1/8”, Postes en tubería galvanizada de 2" cada 2.5 mts aproximadamente o menos en los puntos donde se requiera (longitud tubo 3.,00 m repartidos así: 40 cm alambre púas, 2,07 m para malla, 53 cm para empotrar); malla eslabonada calibre 10 ojo 2-1/4" x 2-1/4", enmarcada en Angulo de 1-1/2” x1-1/2” x 3/16” soldar a los tubos, pieamigos en las secciones esquineras, tapón metálico para tubo, alambre de púa cal 14, incluye también acarreo interno y transporte de materiales. La excavación, la fundación y el refuerzo se pagarán en los ítems respectivos. También incluye ángulo para amarre de malla eslabonada por los desniveles del terreno, Ponton y tensores en alembre.</v>
      </c>
      <c r="C4" s="655"/>
      <c r="D4" s="655"/>
      <c r="E4" s="656"/>
      <c r="G4" s="33" t="str">
        <f>+'PRES MR 5 KW'!C32</f>
        <v>ML</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449</v>
      </c>
      <c r="B8" s="69" t="str">
        <f>VLOOKUP(A8,Materiales3[],3,FALSE)</f>
        <v>malla eslabonada calibre 10 ojo 2-1/4" x 2-1/4"</v>
      </c>
      <c r="C8" s="40" t="str">
        <f>VLOOKUP(A8,Materiales3[],4,FALSE)</f>
        <v>m2</v>
      </c>
      <c r="D8" s="40">
        <f>+(2*2.332)/2.5</f>
        <v>1.8655999999999999</v>
      </c>
      <c r="E8" s="194">
        <f>VLOOKUP(A8,Materiales3[],5,FALSE)*D8</f>
        <v>1.49248</v>
      </c>
      <c r="F8" s="42">
        <f>VLOOKUP(A8,Materiales3[],6,FALSE)</f>
        <v>0</v>
      </c>
      <c r="G8" s="42">
        <f t="shared" ref="G8" si="0">D8*F8</f>
        <v>0</v>
      </c>
    </row>
    <row r="9" spans="1:7" ht="14.5">
      <c r="A9" s="89">
        <v>206</v>
      </c>
      <c r="B9" s="69" t="str">
        <f>VLOOKUP(A9,Materiales3[],3,FALSE)</f>
        <v>Tubo cerramiento galvanizado φ2" x2.5 mm</v>
      </c>
      <c r="C9" s="40" t="str">
        <f>VLOOKUP(A9,Materiales3[],4,FALSE)</f>
        <v>m</v>
      </c>
      <c r="D9" s="40">
        <f>3/2.5*1.03+8*3/100</f>
        <v>1.476</v>
      </c>
      <c r="E9" s="194">
        <f>VLOOKUP(A9,Materiales3[],5,FALSE)*D9</f>
        <v>31.822559999999999</v>
      </c>
      <c r="F9" s="42">
        <f>VLOOKUP(A9,Materiales3[],6,FALSE)</f>
        <v>0</v>
      </c>
      <c r="G9" s="42">
        <f t="shared" ref="G9:G22" si="1">D9*F9</f>
        <v>0</v>
      </c>
    </row>
    <row r="10" spans="1:7" ht="14.5">
      <c r="A10" s="89">
        <v>208</v>
      </c>
      <c r="B10" s="69" t="str">
        <f>VLOOKUP(A10,Materiales3[],3,FALSE)</f>
        <v>Tubo cerramiento galvanizado φ3" x3 mm</v>
      </c>
      <c r="C10" s="40" t="str">
        <f>VLOOKUP(A10,Materiales3[],4,FALSE)</f>
        <v>m</v>
      </c>
      <c r="D10" s="40">
        <f>2*3/100</f>
        <v>0.06</v>
      </c>
      <c r="E10" s="194">
        <f>VLOOKUP(A10,Materiales3[],5,FALSE)*D10</f>
        <v>2.3159999999999998</v>
      </c>
      <c r="F10" s="42">
        <f>VLOOKUP(A10,Materiales3[],6,FALSE)</f>
        <v>0</v>
      </c>
      <c r="G10" s="42">
        <f t="shared" ref="G10" si="2">D10*F10</f>
        <v>0</v>
      </c>
    </row>
    <row r="11" spans="1:7" ht="14.5">
      <c r="A11" s="89">
        <v>205</v>
      </c>
      <c r="B11" s="69" t="str">
        <f>VLOOKUP(A11,Materiales3[],3,FALSE)</f>
        <v>Tubo cerramiento galvanizado φ1  1/2" x1.5 mm</v>
      </c>
      <c r="C11" s="40" t="str">
        <f>VLOOKUP(A11,Materiales3[],4,FALSE)</f>
        <v>m</v>
      </c>
      <c r="D11" s="40">
        <f>4*2.35/100</f>
        <v>9.4E-2</v>
      </c>
      <c r="E11" s="194">
        <f>VLOOKUP(A11,Materiales3[],5,FALSE)*D11</f>
        <v>0.98136000000000001</v>
      </c>
      <c r="F11" s="42">
        <f>VLOOKUP(A11,Materiales3[],6,FALSE)</f>
        <v>0</v>
      </c>
      <c r="G11" s="42">
        <f t="shared" ref="G11" si="3">D11*F11</f>
        <v>0</v>
      </c>
    </row>
    <row r="12" spans="1:7" ht="14.5">
      <c r="A12" s="89">
        <v>207</v>
      </c>
      <c r="B12" s="69" t="str">
        <f>VLOOKUP(A12,Materiales3[],3,FALSE)</f>
        <v>Tubo cerramiento galvanizado φ2  1/2" x2.5 mm</v>
      </c>
      <c r="C12" s="40" t="str">
        <f>VLOOKUP(A12,Materiales3[],4,FALSE)</f>
        <v>m</v>
      </c>
      <c r="D12" s="40">
        <f>4*(1.5+2)/100</f>
        <v>0.14000000000000001</v>
      </c>
      <c r="E12" s="194">
        <f>VLOOKUP(A12,Materiales3[],5,FALSE)*D12</f>
        <v>2.4024000000000001</v>
      </c>
      <c r="F12" s="42">
        <f>VLOOKUP(A12,Materiales3[],6,FALSE)</f>
        <v>0</v>
      </c>
      <c r="G12" s="42">
        <f t="shared" ref="G12" si="4">D12*F12</f>
        <v>0</v>
      </c>
    </row>
    <row r="13" spans="1:7" ht="14.5">
      <c r="A13" s="89">
        <v>203</v>
      </c>
      <c r="B13" s="69" t="str">
        <f>VLOOKUP(A13,Materiales3[],3,FALSE)</f>
        <v>Platina metálica pisamalla 3/8"x1/8"</v>
      </c>
      <c r="C13" s="40" t="str">
        <f>VLOOKUP(A13,Materiales3[],4,FALSE)</f>
        <v>m</v>
      </c>
      <c r="D13" s="40">
        <f>+(2+2.332)*2/2.5</f>
        <v>3.4655999999999998</v>
      </c>
      <c r="E13" s="194">
        <f>VLOOKUP(A13,Materiales3[],5,FALSE)*D13</f>
        <v>2.0793599999999999</v>
      </c>
      <c r="F13" s="42">
        <f>VLOOKUP(A13,Materiales3[],6,FALSE)</f>
        <v>0</v>
      </c>
      <c r="G13" s="42">
        <f t="shared" si="1"/>
        <v>0</v>
      </c>
    </row>
    <row r="14" spans="1:7" ht="14.5">
      <c r="A14" s="89">
        <v>450</v>
      </c>
      <c r="B14" s="69" t="str">
        <f>VLOOKUP(A14,Materiales3[],3,FALSE)</f>
        <v>Angulo 6m x 1-1/2 x 3/16 pulg</v>
      </c>
      <c r="C14" s="40" t="str">
        <f>VLOOKUP(A14,Materiales3[],4,FALSE)</f>
        <v>m</v>
      </c>
      <c r="D14" s="40">
        <f>+((2+2.332)*2+6*0.06)/2.5</f>
        <v>3.6095999999999995</v>
      </c>
      <c r="E14" s="194">
        <f>VLOOKUP(A14,Materiales3[],5,FALSE)*D14</f>
        <v>9.6737279999999988</v>
      </c>
      <c r="F14" s="42">
        <f>VLOOKUP(A14,Materiales3[],6,FALSE)</f>
        <v>0</v>
      </c>
      <c r="G14" s="42">
        <f t="shared" si="1"/>
        <v>0</v>
      </c>
    </row>
    <row r="15" spans="1:7" ht="14.5">
      <c r="A15" s="89">
        <v>204</v>
      </c>
      <c r="B15" s="69" t="str">
        <f>VLOOKUP(A15,Materiales3[],3,FALSE)</f>
        <v>Alambre de puas galvanizado CAL 14</v>
      </c>
      <c r="C15" s="40" t="str">
        <f>VLOOKUP(A15,Materiales3[],4,FALSE)</f>
        <v>m</v>
      </c>
      <c r="D15" s="40">
        <f>7.5/2.5</f>
        <v>3</v>
      </c>
      <c r="E15" s="194">
        <f>VLOOKUP(A15,Materiales3[],5,FALSE)*D15</f>
        <v>0.22799999999999998</v>
      </c>
      <c r="F15" s="42">
        <f>VLOOKUP(A15,Materiales3[],6,FALSE)</f>
        <v>0</v>
      </c>
      <c r="G15" s="42">
        <f t="shared" si="1"/>
        <v>0</v>
      </c>
    </row>
    <row r="16" spans="1:7" ht="14.5">
      <c r="A16" s="89">
        <v>451</v>
      </c>
      <c r="B16" s="69" t="str">
        <f>VLOOKUP(A16,Materiales3[],3,FALSE)</f>
        <v>Cable Guaya en Acero Galvanizado de 1/8"</v>
      </c>
      <c r="C16" s="40" t="str">
        <f>VLOOKUP(A16,Materiales3[],4,FALSE)</f>
        <v>m</v>
      </c>
      <c r="D16" s="40">
        <f>6/2.5</f>
        <v>2.4</v>
      </c>
      <c r="E16" s="194">
        <f>VLOOKUP(A16,Materiales3[],5,FALSE)*D16</f>
        <v>7.9200000000000007E-2</v>
      </c>
      <c r="F16" s="42">
        <f>VLOOKUP(A16,Materiales3[],6,FALSE)</f>
        <v>0</v>
      </c>
      <c r="G16" s="42">
        <f t="shared" si="1"/>
        <v>0</v>
      </c>
    </row>
    <row r="17" spans="1:7" ht="14.5">
      <c r="A17" s="89">
        <v>452</v>
      </c>
      <c r="B17" s="69" t="str">
        <f>VLOOKUP(A17,Materiales3[],3,FALSE)</f>
        <v>Perros Para Cable Galvanizado 1/8</v>
      </c>
      <c r="C17" s="40" t="str">
        <f>VLOOKUP(A17,Materiales3[],4,FALSE)</f>
        <v>UN</v>
      </c>
      <c r="D17" s="40">
        <f>4/2.5</f>
        <v>1.6</v>
      </c>
      <c r="E17" s="194">
        <f>VLOOKUP(A17,Materiales3[],5,FALSE)*D17</f>
        <v>0.12</v>
      </c>
      <c r="F17" s="42">
        <f>VLOOKUP(A17,Materiales3[],6,FALSE)</f>
        <v>0</v>
      </c>
      <c r="G17" s="42">
        <f t="shared" si="1"/>
        <v>0</v>
      </c>
    </row>
    <row r="18" spans="1:7" ht="14.5">
      <c r="A18" s="89">
        <v>99</v>
      </c>
      <c r="B18" s="69" t="str">
        <f>VLOOKUP(A18,Materiales3[],3,FALSE)</f>
        <v>Pintura anticorrosiva</v>
      </c>
      <c r="C18" s="40" t="str">
        <f>VLOOKUP(A18,Materiales3[],4,FALSE)</f>
        <v>gal</v>
      </c>
      <c r="D18" s="40">
        <v>1.4999999999999999E-2</v>
      </c>
      <c r="E18" s="194">
        <f>VLOOKUP(A18,Materiales3[],5,FALSE)*D18</f>
        <v>1.4999999999999999E-2</v>
      </c>
      <c r="F18" s="42">
        <f>VLOOKUP(A18,Materiales3[],6,FALSE)</f>
        <v>0</v>
      </c>
      <c r="G18" s="42">
        <f t="shared" si="1"/>
        <v>0</v>
      </c>
    </row>
    <row r="19" spans="1:7" ht="14.5">
      <c r="A19" s="89">
        <v>453</v>
      </c>
      <c r="B19" s="69" t="str">
        <f>VLOOKUP(A19,Materiales3[],3,FALSE)</f>
        <v>Thiner extrafino</v>
      </c>
      <c r="C19" s="40" t="str">
        <f>VLOOKUP(A19,Materiales3[],4,FALSE)</f>
        <v>gal</v>
      </c>
      <c r="D19" s="40">
        <v>0.03</v>
      </c>
      <c r="E19" s="194">
        <f>VLOOKUP(A19,Materiales3[],5,FALSE)*D19</f>
        <v>0.11358</v>
      </c>
      <c r="F19" s="42">
        <f>VLOOKUP(A19,Materiales3[],6,FALSE)</f>
        <v>0</v>
      </c>
      <c r="G19" s="42">
        <f t="shared" si="1"/>
        <v>0</v>
      </c>
    </row>
    <row r="20" spans="1:7" ht="14.5">
      <c r="A20" s="89">
        <v>454</v>
      </c>
      <c r="B20" s="69" t="str">
        <f>VLOOKUP(A20,Materiales3[],3,FALSE)</f>
        <v>Pintura esmalte Tipo 1</v>
      </c>
      <c r="C20" s="40" t="str">
        <f>VLOOKUP(A20,Materiales3[],4,FALSE)</f>
        <v>GAL</v>
      </c>
      <c r="D20" s="40">
        <v>1.4999999999999999E-2</v>
      </c>
      <c r="E20" s="194">
        <f>VLOOKUP(A20,Materiales3[],5,FALSE)*D20</f>
        <v>0.06</v>
      </c>
      <c r="F20" s="42">
        <f>VLOOKUP(A20,Materiales3[],6,FALSE)</f>
        <v>0</v>
      </c>
      <c r="G20" s="42">
        <f t="shared" si="1"/>
        <v>0</v>
      </c>
    </row>
    <row r="21" spans="1:7" ht="14.5">
      <c r="A21" s="89">
        <v>375</v>
      </c>
      <c r="B21" s="69" t="str">
        <f>VLOOKUP(A21,Materiales3[],3,FALSE)</f>
        <v>Soldadura electrodo E7018</v>
      </c>
      <c r="C21" s="40" t="str">
        <f>VLOOKUP(A21,Materiales3[],4,FALSE)</f>
        <v>kg</v>
      </c>
      <c r="D21" s="40">
        <v>0.05</v>
      </c>
      <c r="E21" s="194">
        <f>VLOOKUP(A21,Materiales3[],5,FALSE)*D21</f>
        <v>0.05</v>
      </c>
      <c r="F21" s="42">
        <f>VLOOKUP(A21,Materiales3[],6,FALSE)</f>
        <v>0</v>
      </c>
      <c r="G21" s="42">
        <f t="shared" si="1"/>
        <v>0</v>
      </c>
    </row>
    <row r="22" spans="1:7" ht="14.5">
      <c r="A22" s="89">
        <v>455</v>
      </c>
      <c r="B22" s="69" t="str">
        <f>VLOOKUP(A22,Materiales3[],3,FALSE)</f>
        <v>Disco Abrasivo Corte Metal 4-1/2-Pulgx1mm</v>
      </c>
      <c r="C22" s="40" t="str">
        <f>VLOOKUP(A22,Materiales3[],4,FALSE)</f>
        <v>UN</v>
      </c>
      <c r="D22" s="40">
        <v>0.1</v>
      </c>
      <c r="E22" s="194">
        <f>VLOOKUP(A22,Materiales3[],5,FALSE)*D22</f>
        <v>1.2E-2</v>
      </c>
      <c r="F22" s="42">
        <f>VLOOKUP(A22,Materiales3[],6,FALSE)</f>
        <v>0</v>
      </c>
      <c r="G22" s="42">
        <f t="shared" si="1"/>
        <v>0</v>
      </c>
    </row>
    <row r="23" spans="1:7" ht="13">
      <c r="D23" s="47"/>
      <c r="E23" s="47"/>
      <c r="F23" s="48" t="s">
        <v>654</v>
      </c>
      <c r="G23" s="49">
        <f>SUM(G8:G22)</f>
        <v>0</v>
      </c>
    </row>
    <row r="24" spans="1:7">
      <c r="G24" s="73"/>
    </row>
    <row r="25" spans="1:7" ht="13">
      <c r="B25" s="50" t="s">
        <v>655</v>
      </c>
      <c r="G25" s="74"/>
    </row>
    <row r="26" spans="1:7" ht="13">
      <c r="A26" s="88" t="s">
        <v>138</v>
      </c>
      <c r="B26" s="37" t="s">
        <v>19</v>
      </c>
      <c r="C26" s="38" t="s">
        <v>665</v>
      </c>
      <c r="D26" s="38" t="s">
        <v>656</v>
      </c>
      <c r="E26" s="38"/>
      <c r="F26" s="38" t="s">
        <v>21</v>
      </c>
      <c r="G26" s="38" t="s">
        <v>286</v>
      </c>
    </row>
    <row r="27" spans="1:7" ht="14.5">
      <c r="A27" s="89">
        <v>1</v>
      </c>
      <c r="B27" s="43" t="str">
        <f>VLOOKUP(A27,Equipoyherramienta[],2,FALSE)</f>
        <v>Herramienta menor</v>
      </c>
      <c r="C27" s="44" t="str">
        <f>VLOOKUP(A27,Equipoyherramienta[],3,FALSE)</f>
        <v>UN</v>
      </c>
      <c r="D27" s="51">
        <f>VLOOKUP(A27,Equipoyherramienta[],4,FALSE)</f>
        <v>0</v>
      </c>
      <c r="E27" s="51"/>
      <c r="F27" s="71">
        <v>5.5</v>
      </c>
      <c r="G27" s="51">
        <f>ROUND(D27/F27,0)</f>
        <v>0</v>
      </c>
    </row>
    <row r="28" spans="1:7" ht="14.5">
      <c r="A28" s="89">
        <v>10</v>
      </c>
      <c r="B28" s="43" t="str">
        <f>VLOOKUP(A28,Equipoyherramienta[],2,FALSE)</f>
        <v>Equipo de oxicorte y soldadura, capacidad de corte 6"-14", incluye soldadura</v>
      </c>
      <c r="C28" s="44" t="str">
        <f>VLOOKUP(A28,Equipoyherramienta[],3,FALSE)</f>
        <v>HORA</v>
      </c>
      <c r="D28" s="51">
        <f>VLOOKUP(A28,Equipoyherramienta[],4,FALSE)</f>
        <v>0</v>
      </c>
      <c r="E28" s="51"/>
      <c r="F28" s="71">
        <f>+F27</f>
        <v>5.5</v>
      </c>
      <c r="G28" s="51">
        <f>ROUND(D28/F28,0)</f>
        <v>0</v>
      </c>
    </row>
    <row r="29" spans="1:7" ht="13">
      <c r="D29" s="47"/>
      <c r="E29" s="47"/>
      <c r="F29" s="48" t="s">
        <v>654</v>
      </c>
      <c r="G29" s="49">
        <f>SUM(G27:G28)</f>
        <v>0</v>
      </c>
    </row>
    <row r="30" spans="1:7" ht="13">
      <c r="D30" s="47"/>
      <c r="E30" s="47"/>
      <c r="F30" s="47"/>
      <c r="G30" s="54"/>
    </row>
    <row r="31" spans="1:7" ht="13">
      <c r="B31" s="36" t="s">
        <v>657</v>
      </c>
      <c r="G31" s="55"/>
    </row>
    <row r="32" spans="1:7" ht="13">
      <c r="A32" s="88" t="s">
        <v>138</v>
      </c>
      <c r="B32" s="37" t="s">
        <v>19</v>
      </c>
      <c r="C32" s="38" t="s">
        <v>284</v>
      </c>
      <c r="D32" s="38" t="s">
        <v>410</v>
      </c>
      <c r="E32" s="38"/>
      <c r="F32" s="38" t="s">
        <v>666</v>
      </c>
      <c r="G32" s="56" t="s">
        <v>286</v>
      </c>
    </row>
    <row r="33" spans="1:7" ht="50">
      <c r="A33" s="89">
        <v>6</v>
      </c>
      <c r="B33" s="57" t="str">
        <f>VLOOKUP(A33,Transp.[],2,FALSE)</f>
        <v>Carga terrestre desde Barranquilla hasta Usuario, incluye cargues, descargues, cruces de río, transporte semoviente, transporte en vehículo de carga pesada y cualquier otro tranposte.</v>
      </c>
      <c r="C33" s="40" t="s">
        <v>667</v>
      </c>
      <c r="D33" s="41">
        <f>SUM(E8:E22)</f>
        <v>51.445667999999998</v>
      </c>
      <c r="E33" s="41"/>
      <c r="F33" s="59">
        <f>VLOOKUP(A33,Transp.[],6,FALSE)</f>
        <v>0</v>
      </c>
      <c r="G33" s="59">
        <f>D33*F33</f>
        <v>0</v>
      </c>
    </row>
    <row r="34" spans="1:7" ht="13.15" customHeight="1">
      <c r="A34" s="89"/>
      <c r="B34" s="57"/>
      <c r="C34" s="40"/>
      <c r="D34" s="41"/>
      <c r="E34" s="41"/>
      <c r="F34" s="59"/>
      <c r="G34" s="59"/>
    </row>
    <row r="35" spans="1:7" ht="13">
      <c r="D35" s="47"/>
      <c r="E35" s="47"/>
      <c r="F35" s="61" t="s">
        <v>654</v>
      </c>
      <c r="G35" s="49">
        <f>SUM(G33:G34)</f>
        <v>0</v>
      </c>
    </row>
    <row r="37" spans="1:7" ht="13">
      <c r="B37" s="36" t="s">
        <v>661</v>
      </c>
      <c r="D37" s="62"/>
      <c r="E37" s="62"/>
      <c r="F37" s="63"/>
      <c r="G37" s="55"/>
    </row>
    <row r="38" spans="1:7" s="47" customFormat="1" ht="13">
      <c r="A38" s="88" t="s">
        <v>138</v>
      </c>
      <c r="B38" s="38" t="s">
        <v>19</v>
      </c>
      <c r="C38" s="38" t="s">
        <v>662</v>
      </c>
      <c r="D38" s="38" t="s">
        <v>663</v>
      </c>
      <c r="E38" s="38"/>
      <c r="F38" s="38" t="s">
        <v>21</v>
      </c>
      <c r="G38" s="56" t="s">
        <v>286</v>
      </c>
    </row>
    <row r="39" spans="1:7" ht="14.5">
      <c r="A39" s="89">
        <v>20</v>
      </c>
      <c r="B39" s="64" t="str">
        <f>VLOOKUP(A39,ManoObra[],2,FALSE)</f>
        <v>Soldador</v>
      </c>
      <c r="C39" s="65">
        <f>VLOOKUP(A39,ManoObra[],8,FALSE)</f>
        <v>0</v>
      </c>
      <c r="D39" s="52">
        <f>+FP!E27</f>
        <v>0</v>
      </c>
      <c r="E39" s="52"/>
      <c r="F39" s="71">
        <f>F27</f>
        <v>5.5</v>
      </c>
      <c r="G39" s="51">
        <f>ROUND(C39*D39/F39,0)</f>
        <v>0</v>
      </c>
    </row>
    <row r="40" spans="1:7" ht="14.5">
      <c r="A40" s="89">
        <v>2</v>
      </c>
      <c r="B40" s="64" t="str">
        <f>VLOOKUP(A40,ManoObra[],2,FALSE)</f>
        <v>Ayudante</v>
      </c>
      <c r="C40" s="65">
        <f>VLOOKUP(A40,ManoObra[],8,FALSE)</f>
        <v>0</v>
      </c>
      <c r="D40" s="52">
        <f>+FP!E27</f>
        <v>0</v>
      </c>
      <c r="E40" s="52"/>
      <c r="F40" s="71">
        <f>+F39</f>
        <v>5.5</v>
      </c>
      <c r="G40" s="51">
        <f>ROUND(C40*D40/F40,0)</f>
        <v>0</v>
      </c>
    </row>
    <row r="41" spans="1:7" ht="13">
      <c r="D41" s="47"/>
      <c r="E41" s="47"/>
      <c r="F41" s="61" t="s">
        <v>654</v>
      </c>
      <c r="G41" s="75">
        <f>SUM(G39:G40)</f>
        <v>0</v>
      </c>
    </row>
    <row r="42" spans="1:7" ht="13">
      <c r="D42" s="47"/>
      <c r="E42" s="47"/>
      <c r="G42" s="55"/>
    </row>
    <row r="43" spans="1:7" ht="12.75" customHeight="1">
      <c r="B43" s="47"/>
      <c r="D43" s="652" t="s">
        <v>664</v>
      </c>
      <c r="E43" s="654"/>
      <c r="F43" s="653"/>
      <c r="G43" s="66">
        <f>G23+G29+G35+G41</f>
        <v>0</v>
      </c>
    </row>
  </sheetData>
  <mergeCells count="3">
    <mergeCell ref="B1:G1"/>
    <mergeCell ref="B4:E4"/>
    <mergeCell ref="D43:F43"/>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A4A94-6F0A-443D-B78B-063F20C9C4E4}">
  <sheetPr codeName="Hoja40">
    <tabColor theme="4" tint="0.59999389629810485"/>
    <pageSetUpPr fitToPage="1"/>
  </sheetPr>
  <dimension ref="A1:G44"/>
  <sheetViews>
    <sheetView showGridLines="0" view="pageBreakPreview" zoomScale="80" zoomScaleNormal="120" zoomScaleSheetLayoutView="80" workbookViewId="0">
      <selection activeCell="A4" sqref="A4:A42"/>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KW'!A34</f>
        <v>3.3.1</v>
      </c>
      <c r="D3" s="31"/>
      <c r="E3" s="31"/>
      <c r="F3" s="31"/>
      <c r="G3" s="32" t="s">
        <v>652</v>
      </c>
    </row>
    <row r="4" spans="1:7" ht="61.9" customHeight="1">
      <c r="B4" s="649" t="str">
        <f>+'PRES MR 5 KW'!B34</f>
        <v>Suministro e instalación de medidor AMI prepago monofásico bifilar 5 (80) A, 120 V , calibrado. Incluye sistema de  gestión de recaudo y equipos de comunicación online.</v>
      </c>
      <c r="C4" s="655"/>
      <c r="D4" s="655"/>
      <c r="E4" s="656"/>
      <c r="G4" s="33" t="str">
        <f>+'PRES MR 5 KW'!C34</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352</v>
      </c>
      <c r="B8" s="69" t="str">
        <f>VLOOKUP(A8,Materiales3[],3,FALSE)</f>
        <v xml:space="preserve">Medidor Prepago 120V 5-80A (AMI) </v>
      </c>
      <c r="C8" s="40" t="str">
        <f>VLOOKUP(A8,Materiales3[],4,FALSE)</f>
        <v>UN</v>
      </c>
      <c r="D8" s="40">
        <v>1</v>
      </c>
      <c r="E8" s="40">
        <f>VLOOKUP(A8,Materiales3[],5,FALSE)*D8</f>
        <v>0.5</v>
      </c>
      <c r="F8" s="42">
        <f>VLOOKUP(A8,Materiales3[],6,FALSE)</f>
        <v>0</v>
      </c>
      <c r="G8" s="42">
        <f>D8*F8</f>
        <v>0</v>
      </c>
    </row>
    <row r="9" spans="1:7" ht="14.5">
      <c r="A9" s="89">
        <v>415</v>
      </c>
      <c r="B9" s="69" t="str">
        <f>VLOOKUP(A9,Materiales3[],3,FALSE)</f>
        <v>Caja medidor pequeña con accesorios</v>
      </c>
      <c r="C9" s="40" t="str">
        <f>VLOOKUP(A9,Materiales3[],4,FALSE)</f>
        <v>UN</v>
      </c>
      <c r="D9" s="40">
        <v>1</v>
      </c>
      <c r="E9" s="40">
        <f>VLOOKUP(A9,Materiales3[],5,FALSE)*D9</f>
        <v>0.5</v>
      </c>
      <c r="F9" s="42">
        <f>VLOOKUP(A9,Materiales3[],6,FALSE)</f>
        <v>0</v>
      </c>
      <c r="G9" s="42">
        <f t="shared" ref="G9:G14" si="0">D9*F9</f>
        <v>0</v>
      </c>
    </row>
    <row r="10" spans="1:7" ht="14.5">
      <c r="A10" s="89">
        <v>343</v>
      </c>
      <c r="B10" s="69" t="str">
        <f>VLOOKUP(A10,Materiales3[],3,FALSE)</f>
        <v xml:space="preserve">Plataforma de Recaudo </v>
      </c>
      <c r="C10" s="40" t="str">
        <f>VLOOKUP(A10,Materiales3[],4,FALSE)</f>
        <v>UN</v>
      </c>
      <c r="D10" s="104">
        <f>1/(Usuarios!$C$7)</f>
        <v>1.5151515151515152E-3</v>
      </c>
      <c r="E10" s="104">
        <f>VLOOKUP(A10,Materiales3[],5,FALSE)*D10</f>
        <v>7.5757575757575758E-4</v>
      </c>
      <c r="F10" s="42">
        <f>VLOOKUP(A10,Materiales3[],6,FALSE)</f>
        <v>0</v>
      </c>
      <c r="G10" s="42">
        <f t="shared" si="0"/>
        <v>0</v>
      </c>
    </row>
    <row r="11" spans="1:7" ht="14.5">
      <c r="A11" s="89">
        <v>345</v>
      </c>
      <c r="B11" s="69" t="str">
        <f>VLOOKUP(A11,Materiales3[],3,FALSE)</f>
        <v xml:space="preserve"> Software Datafono Telpo Local</v>
      </c>
      <c r="C11" s="40" t="str">
        <f>VLOOKUP(A11,Materiales3[],4,FALSE)</f>
        <v>UN</v>
      </c>
      <c r="D11" s="104">
        <f>1/(Usuarios!$C$7)</f>
        <v>1.5151515151515152E-3</v>
      </c>
      <c r="E11" s="104">
        <f>VLOOKUP(A11,Materiales3[],5,FALSE)*D11</f>
        <v>0</v>
      </c>
      <c r="F11" s="42">
        <f>VLOOKUP(A11,Materiales3[],6,FALSE)</f>
        <v>0</v>
      </c>
      <c r="G11" s="42">
        <f t="shared" si="0"/>
        <v>0</v>
      </c>
    </row>
    <row r="12" spans="1:7" ht="14.5">
      <c r="A12" s="89">
        <v>347</v>
      </c>
      <c r="B12" s="69" t="str">
        <f>VLOOKUP(A12,Materiales3[],3,FALSE)</f>
        <v xml:space="preserve"> Software Datafono Telpo Viajero</v>
      </c>
      <c r="C12" s="40" t="str">
        <f>VLOOKUP(A12,Materiales3[],4,FALSE)</f>
        <v>UN</v>
      </c>
      <c r="D12" s="104">
        <f>1/(Usuarios!$C$7)</f>
        <v>1.5151515151515152E-3</v>
      </c>
      <c r="E12" s="104">
        <f>VLOOKUP(A12,Materiales3[],5,FALSE)*D12</f>
        <v>0</v>
      </c>
      <c r="F12" s="42">
        <f>VLOOKUP(A12,Materiales3[],6,FALSE)</f>
        <v>0</v>
      </c>
      <c r="G12" s="42">
        <f t="shared" si="0"/>
        <v>0</v>
      </c>
    </row>
    <row r="13" spans="1:7" ht="14.5">
      <c r="A13" s="89">
        <v>348</v>
      </c>
      <c r="B13" s="69" t="str">
        <f>VLOOKUP(A13,Materiales3[],3,FALSE)</f>
        <v>Servidor (Pantalla-Teclado-Mouse)</v>
      </c>
      <c r="C13" s="40" t="str">
        <f>VLOOKUP(A13,Materiales3[],4,FALSE)</f>
        <v>UN</v>
      </c>
      <c r="D13" s="104">
        <f>1/(Usuarios!$C$7)</f>
        <v>1.5151515151515152E-3</v>
      </c>
      <c r="E13" s="104">
        <f>VLOOKUP(A13,Materiales3[],5,FALSE)*D13</f>
        <v>7.5757575757575758E-4</v>
      </c>
      <c r="F13" s="42">
        <f>VLOOKUP(A13,Materiales3[],6,FALSE)</f>
        <v>0</v>
      </c>
      <c r="G13" s="42">
        <f t="shared" si="0"/>
        <v>0</v>
      </c>
    </row>
    <row r="14" spans="1:7" ht="14.5">
      <c r="A14" s="89">
        <v>349</v>
      </c>
      <c r="B14" s="69" t="str">
        <f>VLOOKUP(A14,Materiales3[],3,FALSE)</f>
        <v>UPS  Servidor</v>
      </c>
      <c r="C14" s="40" t="str">
        <f>VLOOKUP(A14,Materiales3[],4,FALSE)</f>
        <v>UN</v>
      </c>
      <c r="D14" s="104">
        <f>1/(Usuarios!$C$7)</f>
        <v>1.5151515151515152E-3</v>
      </c>
      <c r="E14" s="104">
        <f>VLOOKUP(A14,Materiales3[],5,FALSE)*D14</f>
        <v>7.5757575757575758E-4</v>
      </c>
      <c r="F14" s="42">
        <f>VLOOKUP(A14,Materiales3[],6,FALSE)</f>
        <v>0</v>
      </c>
      <c r="G14" s="42">
        <f t="shared" si="0"/>
        <v>0</v>
      </c>
    </row>
    <row r="15" spans="1:7" ht="14.5">
      <c r="A15" s="89">
        <v>353</v>
      </c>
      <c r="B15" s="69" t="str">
        <f>VLOOKUP(A15,Materiales3[],3,FALSE)</f>
        <v xml:space="preserve">Plataforma HES AMI </v>
      </c>
      <c r="C15" s="40" t="str">
        <f>VLOOKUP(A15,Materiales3[],4,FALSE)</f>
        <v>UN</v>
      </c>
      <c r="D15" s="104">
        <f>1/(Usuarios!$E$7+Usuarios!$I$7)</f>
        <v>9.0909090909090912E-2</v>
      </c>
      <c r="E15" s="104">
        <f>VLOOKUP(A15,Materiales3[],5,FALSE)*D15</f>
        <v>1.8181818181818184E-2</v>
      </c>
      <c r="F15" s="42">
        <f>VLOOKUP(A15,Materiales3[],6,FALSE)</f>
        <v>0</v>
      </c>
      <c r="G15" s="42">
        <f t="shared" ref="G15" si="1">D15*F15</f>
        <v>0</v>
      </c>
    </row>
    <row r="16" spans="1:7" ht="14.5">
      <c r="A16" s="89">
        <v>354</v>
      </c>
      <c r="B16" s="69" t="str">
        <f>VLOOKUP(A16,Materiales3[],3,FALSE)</f>
        <v>Concentrador AMI PLC CL818C84</v>
      </c>
      <c r="C16" s="40" t="str">
        <f>VLOOKUP(A16,Materiales3[],4,FALSE)</f>
        <v>UN</v>
      </c>
      <c r="D16" s="104">
        <f>2/(Usuarios!$E$7+Usuarios!$I$7)</f>
        <v>0.18181818181818182</v>
      </c>
      <c r="E16" s="104">
        <f>VLOOKUP(A16,Materiales3[],5,FALSE)*D16</f>
        <v>3.6363636363636369E-2</v>
      </c>
      <c r="F16" s="42">
        <f>VLOOKUP(A16,Materiales3[],6,FALSE)</f>
        <v>0</v>
      </c>
      <c r="G16" s="42">
        <f t="shared" ref="G16" si="2">D16*F16</f>
        <v>0</v>
      </c>
    </row>
    <row r="17" spans="1:7" ht="14.5">
      <c r="A17" s="89">
        <v>355</v>
      </c>
      <c r="B17" s="69" t="str">
        <f>VLOOKUP(A17,Materiales3[],3,FALSE)</f>
        <v>Gabinete Concentrador</v>
      </c>
      <c r="C17" s="40" t="str">
        <f>VLOOKUP(A17,Materiales3[],4,FALSE)</f>
        <v>UN</v>
      </c>
      <c r="D17" s="104">
        <f>2/(Usuarios!$E$7+Usuarios!$I$7)</f>
        <v>0.18181818181818182</v>
      </c>
      <c r="E17" s="104">
        <f>VLOOKUP(A17,Materiales3[],5,FALSE)*D17</f>
        <v>3.6363636363636369E-2</v>
      </c>
      <c r="F17" s="42">
        <f>VLOOKUP(A17,Materiales3[],6,FALSE)</f>
        <v>0</v>
      </c>
      <c r="G17" s="42">
        <f t="shared" ref="G17" si="3">D17*F17</f>
        <v>0</v>
      </c>
    </row>
    <row r="18" spans="1:7" ht="14.5">
      <c r="A18" s="89">
        <v>356</v>
      </c>
      <c r="B18" s="69" t="str">
        <f>VLOOKUP(A18,Materiales3[],3,FALSE)</f>
        <v>Plan Internet Satelital Anual Estándar Starlink</v>
      </c>
      <c r="C18" s="40" t="str">
        <f>VLOOKUP(A18,Materiales3[],4,FALSE)</f>
        <v>UN</v>
      </c>
      <c r="D18" s="104">
        <f>2/(Usuarios!$E$7+Usuarios!$I$7)</f>
        <v>0.18181818181818182</v>
      </c>
      <c r="E18" s="104">
        <f>VLOOKUP(A18,Materiales3[],5,FALSE)*D18</f>
        <v>3.6363636363636369E-2</v>
      </c>
      <c r="F18" s="42">
        <f>VLOOKUP(A18,Materiales3[],6,FALSE)</f>
        <v>0</v>
      </c>
      <c r="G18" s="42">
        <f t="shared" ref="G18:G19" si="4">D18*F18</f>
        <v>0</v>
      </c>
    </row>
    <row r="19" spans="1:7" ht="23.5" customHeight="1">
      <c r="A19" s="89">
        <v>357</v>
      </c>
      <c r="B19" s="69" t="str">
        <f>VLOOKUP(A19,Materiales3[],3,FALSE)</f>
        <v>Equipo internet satelital Starlink Standar (incluye Antena + Router)</v>
      </c>
      <c r="C19" s="40" t="str">
        <f>VLOOKUP(A19,Materiales3[],4,FALSE)</f>
        <v>UN</v>
      </c>
      <c r="D19" s="104">
        <f>2/(Usuarios!$E$7+Usuarios!$I$7)</f>
        <v>0.18181818181818182</v>
      </c>
      <c r="E19" s="104">
        <f>VLOOKUP(A19,Materiales3[],5,FALSE)*D19</f>
        <v>3.6363636363636369E-2</v>
      </c>
      <c r="F19" s="42">
        <f>VLOOKUP(A19,Materiales3[],6,FALSE)</f>
        <v>0</v>
      </c>
      <c r="G19" s="42">
        <f t="shared" si="4"/>
        <v>0</v>
      </c>
    </row>
    <row r="20" spans="1:7" ht="14.5">
      <c r="A20" s="89"/>
      <c r="B20" s="69"/>
      <c r="C20" s="40"/>
      <c r="D20" s="104"/>
      <c r="E20" s="104"/>
      <c r="F20" s="42"/>
      <c r="G20" s="42"/>
    </row>
    <row r="21" spans="1:7" ht="13">
      <c r="D21" s="47"/>
      <c r="E21" s="47"/>
      <c r="F21" s="48" t="s">
        <v>654</v>
      </c>
      <c r="G21" s="49">
        <f>SUM(G8:G20)</f>
        <v>0</v>
      </c>
    </row>
    <row r="22" spans="1:7">
      <c r="G22" s="73"/>
    </row>
    <row r="23" spans="1:7" ht="13">
      <c r="B23" s="50" t="s">
        <v>655</v>
      </c>
      <c r="G23" s="74"/>
    </row>
    <row r="24" spans="1:7" ht="13">
      <c r="A24" s="88" t="s">
        <v>138</v>
      </c>
      <c r="B24" s="37" t="s">
        <v>19</v>
      </c>
      <c r="C24" s="38" t="s">
        <v>665</v>
      </c>
      <c r="D24" s="38" t="s">
        <v>656</v>
      </c>
      <c r="E24" s="38"/>
      <c r="F24" s="38" t="s">
        <v>21</v>
      </c>
      <c r="G24" s="38" t="s">
        <v>286</v>
      </c>
    </row>
    <row r="25" spans="1:7" ht="14.5">
      <c r="A25" s="89">
        <v>1</v>
      </c>
      <c r="B25" s="43" t="str">
        <f>VLOOKUP(A25,Equipoyherramienta[],2,FALSE)</f>
        <v>Herramienta menor</v>
      </c>
      <c r="C25" s="44" t="str">
        <f>VLOOKUP(A25,Equipoyherramienta[],3,FALSE)</f>
        <v>UN</v>
      </c>
      <c r="D25" s="51">
        <f>VLOOKUP(A25,Equipoyherramienta[],4,FALSE)</f>
        <v>0</v>
      </c>
      <c r="E25" s="51"/>
      <c r="F25" s="71">
        <v>2.42</v>
      </c>
      <c r="G25" s="51">
        <f>ROUND(D25/F25,0)</f>
        <v>0</v>
      </c>
    </row>
    <row r="26" spans="1:7">
      <c r="B26" s="43"/>
      <c r="C26" s="44"/>
      <c r="D26" s="46"/>
      <c r="E26" s="46"/>
      <c r="F26" s="52"/>
      <c r="G26" s="53"/>
    </row>
    <row r="27" spans="1:7">
      <c r="B27" s="43"/>
      <c r="C27" s="44"/>
      <c r="D27" s="46"/>
      <c r="E27" s="46"/>
      <c r="F27" s="52"/>
      <c r="G27" s="53"/>
    </row>
    <row r="28" spans="1:7" ht="13">
      <c r="D28" s="47"/>
      <c r="E28" s="47"/>
      <c r="F28" s="48" t="s">
        <v>654</v>
      </c>
      <c r="G28" s="49">
        <f>SUM(G25:G27)</f>
        <v>0</v>
      </c>
    </row>
    <row r="29" spans="1:7" ht="13">
      <c r="D29" s="47"/>
      <c r="E29" s="47"/>
      <c r="F29" s="47"/>
      <c r="G29" s="54"/>
    </row>
    <row r="30" spans="1:7" ht="13">
      <c r="B30" s="36" t="s">
        <v>657</v>
      </c>
      <c r="G30" s="55"/>
    </row>
    <row r="31" spans="1:7" ht="13">
      <c r="A31" s="88" t="s">
        <v>138</v>
      </c>
      <c r="B31" s="37" t="s">
        <v>19</v>
      </c>
      <c r="C31" s="38" t="s">
        <v>284</v>
      </c>
      <c r="D31" s="38" t="s">
        <v>410</v>
      </c>
      <c r="E31" s="38"/>
      <c r="F31" s="38" t="s">
        <v>666</v>
      </c>
      <c r="G31" s="56" t="s">
        <v>286</v>
      </c>
    </row>
    <row r="32" spans="1:7" ht="58.9" customHeight="1">
      <c r="A32" s="89">
        <v>6</v>
      </c>
      <c r="B32" s="57" t="str">
        <f>VLOOKUP(A32,Transp.[],2,FALSE)</f>
        <v>Carga terrestre desde Barranquilla hasta Usuario, incluye cargues, descargues, cruces de río, transporte semoviente, transporte en vehículo de carga pesada y cualquier otro tranposte.</v>
      </c>
      <c r="C32" s="40" t="s">
        <v>667</v>
      </c>
      <c r="D32" s="41">
        <f>SUM(E8:E20)</f>
        <v>1.1659090909090908</v>
      </c>
      <c r="E32" s="41"/>
      <c r="F32" s="59">
        <f>VLOOKUP(A32,Transp.[],6,FALSE)</f>
        <v>0</v>
      </c>
      <c r="G32" s="59">
        <f>D32*F32</f>
        <v>0</v>
      </c>
    </row>
    <row r="33" spans="1:7" ht="13.15" customHeight="1">
      <c r="A33" s="89"/>
      <c r="B33" s="57"/>
      <c r="C33" s="40"/>
      <c r="D33" s="41"/>
      <c r="E33" s="41"/>
      <c r="F33" s="59"/>
      <c r="G33" s="59"/>
    </row>
    <row r="34" spans="1:7" ht="13.15" customHeight="1">
      <c r="A34" s="89"/>
      <c r="B34" s="57"/>
      <c r="C34" s="40"/>
      <c r="D34" s="41"/>
      <c r="E34" s="41"/>
      <c r="F34" s="59"/>
      <c r="G34" s="59"/>
    </row>
    <row r="35" spans="1:7" ht="13">
      <c r="D35" s="47"/>
      <c r="E35" s="47"/>
      <c r="F35" s="61" t="s">
        <v>654</v>
      </c>
      <c r="G35" s="49">
        <f>SUM(G32:G34)</f>
        <v>0</v>
      </c>
    </row>
    <row r="37" spans="1:7" ht="13">
      <c r="B37" s="36" t="s">
        <v>661</v>
      </c>
      <c r="D37" s="62"/>
      <c r="E37" s="62"/>
      <c r="F37" s="63"/>
      <c r="G37" s="55"/>
    </row>
    <row r="38" spans="1:7" s="47" customFormat="1" ht="13">
      <c r="A38" s="88" t="s">
        <v>138</v>
      </c>
      <c r="B38" s="38" t="s">
        <v>19</v>
      </c>
      <c r="C38" s="38" t="s">
        <v>662</v>
      </c>
      <c r="D38" s="38" t="s">
        <v>663</v>
      </c>
      <c r="E38" s="38"/>
      <c r="F38" s="38" t="s">
        <v>21</v>
      </c>
      <c r="G38" s="56" t="s">
        <v>286</v>
      </c>
    </row>
    <row r="39" spans="1:7" ht="14.5">
      <c r="A39" s="89">
        <v>1</v>
      </c>
      <c r="B39" s="64" t="str">
        <f>VLOOKUP(A39,ManoObra[],2,FALSE)</f>
        <v>Electricista</v>
      </c>
      <c r="C39" s="65">
        <f>VLOOKUP(A39,ManoObra[],8,FALSE)</f>
        <v>0</v>
      </c>
      <c r="D39" s="52">
        <f>+FP!E27</f>
        <v>0</v>
      </c>
      <c r="E39" s="52"/>
      <c r="F39" s="71">
        <f>+F25/2</f>
        <v>1.21</v>
      </c>
      <c r="G39" s="51">
        <f>ROUND(C39*D39/F39,0)</f>
        <v>0</v>
      </c>
    </row>
    <row r="40" spans="1:7" ht="14.5">
      <c r="A40" s="89">
        <v>2</v>
      </c>
      <c r="B40" s="64" t="str">
        <f>VLOOKUP(A40,ManoObra[],2,FALSE)</f>
        <v>Ayudante</v>
      </c>
      <c r="C40" s="65">
        <f>VLOOKUP(A40,ManoObra[],8,FALSE)</f>
        <v>0</v>
      </c>
      <c r="D40" s="52">
        <f>+FP!E27</f>
        <v>0</v>
      </c>
      <c r="E40" s="52"/>
      <c r="F40" s="71">
        <f>+F39</f>
        <v>1.21</v>
      </c>
      <c r="G40" s="51">
        <f>ROUND(C40*D40/F40,0)</f>
        <v>0</v>
      </c>
    </row>
    <row r="41" spans="1:7" ht="14.5">
      <c r="A41" s="89"/>
      <c r="B41" s="70"/>
      <c r="C41" s="65"/>
      <c r="D41" s="52"/>
      <c r="E41" s="52"/>
      <c r="F41" s="45"/>
      <c r="G41" s="51"/>
    </row>
    <row r="42" spans="1:7" ht="13">
      <c r="D42" s="47"/>
      <c r="E42" s="47"/>
      <c r="F42" s="61" t="s">
        <v>654</v>
      </c>
      <c r="G42" s="75">
        <f>SUM(G39:G41)</f>
        <v>0</v>
      </c>
    </row>
    <row r="43" spans="1:7" ht="13">
      <c r="D43" s="47"/>
      <c r="E43" s="47"/>
      <c r="G43" s="55"/>
    </row>
    <row r="44" spans="1:7" ht="12.75" customHeight="1">
      <c r="B44" s="47"/>
      <c r="D44" s="652" t="s">
        <v>664</v>
      </c>
      <c r="E44" s="654"/>
      <c r="F44" s="653"/>
      <c r="G44" s="66">
        <f>G21+G28+G35+G42</f>
        <v>0</v>
      </c>
    </row>
  </sheetData>
  <mergeCells count="3">
    <mergeCell ref="B1:G1"/>
    <mergeCell ref="B4:E4"/>
    <mergeCell ref="D44:F4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4A33-5965-453E-9DC9-532E5BB8EBD2}">
  <sheetPr codeName="Hoja46">
    <tabColor theme="4" tint="0.59999389629810485"/>
    <pageSetUpPr fitToPage="1"/>
  </sheetPr>
  <dimension ref="A1:G42"/>
  <sheetViews>
    <sheetView showGridLines="0" view="pageBreakPreview" zoomScale="80" zoomScaleNormal="120" zoomScaleSheetLayoutView="80" workbookViewId="0">
      <selection activeCell="A4" sqref="A4:A43"/>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KW'!A36</f>
        <v>3.4.1</v>
      </c>
      <c r="D3" s="31"/>
      <c r="E3" s="31"/>
      <c r="F3" s="31"/>
      <c r="G3" s="32" t="s">
        <v>652</v>
      </c>
    </row>
    <row r="4" spans="1:7" ht="61.9" customHeight="1">
      <c r="B4" s="649" t="str">
        <f>+'PRES MR 5 KW'!B36</f>
        <v>Suministro, transporte e instalación de acometida domiciliaria subterranea desde caja de conexiones hasta medidor domiciliario, en cable de aluminio antifraude 2x No 6 AWG y tubería PVC 3/4"</v>
      </c>
      <c r="C4" s="655"/>
      <c r="D4" s="655"/>
      <c r="E4" s="656"/>
      <c r="G4" s="33" t="str">
        <f>+'PRES MR 5 KW'!C36</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76</v>
      </c>
      <c r="B8" s="69" t="str">
        <f>VLOOKUP(A8,Materiales3[],3,FALSE)</f>
        <v>Cinta acero inoxidable 19 mm (3/4")</v>
      </c>
      <c r="C8" s="40" t="str">
        <f>VLOOKUP(A8,Materiales3[],4,FALSE)</f>
        <v>UN</v>
      </c>
      <c r="D8" s="40">
        <v>1</v>
      </c>
      <c r="E8" s="40">
        <f>VLOOKUP(A8,Materiales3[],5,FALSE)*D8</f>
        <v>0.05</v>
      </c>
      <c r="F8" s="42">
        <f>VLOOKUP(A8,Materiales3[],6,FALSE)</f>
        <v>0</v>
      </c>
      <c r="G8" s="42">
        <f>D8*F8</f>
        <v>0</v>
      </c>
    </row>
    <row r="9" spans="1:7" ht="14.5">
      <c r="A9" s="89">
        <v>77</v>
      </c>
      <c r="B9" s="69" t="str">
        <f>VLOOKUP(A9,Materiales3[],3,FALSE)</f>
        <v>Hebilla acero inoxidable para cinta 19 mm (3/4")</v>
      </c>
      <c r="C9" s="40" t="str">
        <f>VLOOKUP(A9,Materiales3[],4,FALSE)</f>
        <v>UN</v>
      </c>
      <c r="D9" s="40">
        <v>1</v>
      </c>
      <c r="E9" s="40">
        <f>VLOOKUP(A9,Materiales3[],5,FALSE)*D9</f>
        <v>0.05</v>
      </c>
      <c r="F9" s="42">
        <f>VLOOKUP(A9,Materiales3[],6,FALSE)</f>
        <v>0</v>
      </c>
      <c r="G9" s="42">
        <f t="shared" ref="G9:G18" si="0">D9*F9</f>
        <v>0</v>
      </c>
    </row>
    <row r="10" spans="1:7" ht="14.5">
      <c r="A10" s="89">
        <v>78</v>
      </c>
      <c r="B10" s="69" t="str">
        <f>VLOOKUP(A10,Materiales3[],3,FALSE)</f>
        <v>Ojo de aluminio para acometida domiciliaria</v>
      </c>
      <c r="C10" s="40" t="str">
        <f>VLOOKUP(A10,Materiales3[],4,FALSE)</f>
        <v>UN</v>
      </c>
      <c r="D10" s="40">
        <v>5</v>
      </c>
      <c r="E10" s="104">
        <f>VLOOKUP(A10,Materiales3[],5,FALSE)*D10</f>
        <v>0.25</v>
      </c>
      <c r="F10" s="42">
        <f>VLOOKUP(A10,Materiales3[],6,FALSE)</f>
        <v>0</v>
      </c>
      <c r="G10" s="42">
        <f t="shared" si="0"/>
        <v>0</v>
      </c>
    </row>
    <row r="11" spans="1:7" ht="14.5">
      <c r="A11" s="89">
        <v>79</v>
      </c>
      <c r="B11" s="69" t="str">
        <f>VLOOKUP(A11,Materiales3[],3,FALSE)</f>
        <v>Pinza de anclaje acometida domiciliaria</v>
      </c>
      <c r="C11" s="40" t="str">
        <f>VLOOKUP(A11,Materiales3[],4,FALSE)</f>
        <v>UN</v>
      </c>
      <c r="D11" s="40">
        <v>5</v>
      </c>
      <c r="E11" s="104">
        <f>VLOOKUP(A11,Materiales3[],5,FALSE)*D11</f>
        <v>0.25</v>
      </c>
      <c r="F11" s="42">
        <f>VLOOKUP(A11,Materiales3[],6,FALSE)</f>
        <v>0</v>
      </c>
      <c r="G11" s="42">
        <f t="shared" si="0"/>
        <v>0</v>
      </c>
    </row>
    <row r="12" spans="1:7" ht="14.5">
      <c r="A12" s="89">
        <v>80</v>
      </c>
      <c r="B12" s="69" t="str">
        <f>VLOOKUP(A12,Materiales3[],3,FALSE)</f>
        <v>Perno 7/16" con chazo</v>
      </c>
      <c r="C12" s="40" t="str">
        <f>VLOOKUP(A12,Materiales3[],4,FALSE)</f>
        <v>UN</v>
      </c>
      <c r="D12" s="40">
        <v>5</v>
      </c>
      <c r="E12" s="104">
        <f>VLOOKUP(A12,Materiales3[],5,FALSE)*D12</f>
        <v>0.25</v>
      </c>
      <c r="F12" s="42">
        <f>VLOOKUP(A12,Materiales3[],6,FALSE)</f>
        <v>0</v>
      </c>
      <c r="G12" s="42">
        <f t="shared" si="0"/>
        <v>0</v>
      </c>
    </row>
    <row r="13" spans="1:7" ht="14.5">
      <c r="A13" s="89">
        <v>81</v>
      </c>
      <c r="B13" s="69" t="str">
        <f>VLOOKUP(A13,Materiales3[],3,FALSE)</f>
        <v>Abrazadera metálica galvanizada doble ala 3/4"</v>
      </c>
      <c r="C13" s="40" t="str">
        <f>VLOOKUP(A13,Materiales3[],4,FALSE)</f>
        <v>UN</v>
      </c>
      <c r="D13" s="40">
        <v>1</v>
      </c>
      <c r="E13" s="104">
        <f>VLOOKUP(A13,Materiales3[],5,FALSE)*D13</f>
        <v>0.05</v>
      </c>
      <c r="F13" s="42">
        <f>VLOOKUP(A13,Materiales3[],6,FALSE)</f>
        <v>0</v>
      </c>
      <c r="G13" s="42">
        <f t="shared" si="0"/>
        <v>0</v>
      </c>
    </row>
    <row r="14" spans="1:7" ht="25.15" customHeight="1">
      <c r="A14" s="89">
        <v>82</v>
      </c>
      <c r="B14" s="69" t="str">
        <f>VLOOKUP(A14,Materiales3[],3,FALSE)</f>
        <v>Cable de aluminio antifraude (con neutro concéntrico) 2 x No. 6 AWG</v>
      </c>
      <c r="C14" s="40" t="str">
        <f>VLOOKUP(A14,Materiales3[],4,FALSE)</f>
        <v>UN</v>
      </c>
      <c r="D14" s="40">
        <v>3</v>
      </c>
      <c r="E14" s="104">
        <f>VLOOKUP(A14,Materiales3[],5,FALSE)*D14</f>
        <v>0.93900000000000006</v>
      </c>
      <c r="F14" s="42">
        <f>VLOOKUP(A14,Materiales3[],6,FALSE)</f>
        <v>0</v>
      </c>
      <c r="G14" s="42">
        <f t="shared" si="0"/>
        <v>0</v>
      </c>
    </row>
    <row r="15" spans="1:7" ht="25.15" customHeight="1">
      <c r="A15" s="89">
        <v>457</v>
      </c>
      <c r="B15" s="69" t="str">
        <f>VLOOKUP(A15,Materiales3[],3,FALSE)</f>
        <v>Tensor de Acometida BP Pequeño 19 mm - Maxima Fijacion y Resistencia</v>
      </c>
      <c r="C15" s="40" t="str">
        <f>VLOOKUP(A15,Materiales3[],4,FALSE)</f>
        <v>UN</v>
      </c>
      <c r="D15" s="40">
        <v>2</v>
      </c>
      <c r="E15" s="104">
        <f>VLOOKUP(A15,Materiales3[],5,FALSE)*D15</f>
        <v>0.13200000000000001</v>
      </c>
      <c r="F15" s="42">
        <f>VLOOKUP(A15,Materiales3[],6,FALSE)</f>
        <v>0</v>
      </c>
      <c r="G15" s="42">
        <f t="shared" ref="G15" si="1">D15*F15</f>
        <v>0</v>
      </c>
    </row>
    <row r="16" spans="1:7" ht="14.5">
      <c r="A16" s="89">
        <v>83</v>
      </c>
      <c r="B16" s="69" t="str">
        <f>VLOOKUP(A16,Materiales3[],3,FALSE)</f>
        <v>Tuberia conduit PVC tipo A 3/4"</v>
      </c>
      <c r="C16" s="40" t="str">
        <f>VLOOKUP(A16,Materiales3[],4,FALSE)</f>
        <v>ML</v>
      </c>
      <c r="D16" s="40">
        <v>23</v>
      </c>
      <c r="E16" s="104">
        <f>VLOOKUP(A16,Materiales3[],5,FALSE)*D16</f>
        <v>4.4466666666666663</v>
      </c>
      <c r="F16" s="42">
        <f>VLOOKUP(A16,Materiales3[],6,FALSE)</f>
        <v>0</v>
      </c>
      <c r="G16" s="42">
        <f t="shared" si="0"/>
        <v>0</v>
      </c>
    </row>
    <row r="17" spans="1:7" ht="14.5">
      <c r="A17" s="89">
        <v>84</v>
      </c>
      <c r="B17" s="69" t="str">
        <f>VLOOKUP(A17,Materiales3[],3,FALSE)</f>
        <v>Tubería conduit PVC SCH 40 3/4"</v>
      </c>
      <c r="C17" s="40" t="str">
        <f>VLOOKUP(A17,Materiales3[],4,FALSE)</f>
        <v>ML</v>
      </c>
      <c r="D17" s="40">
        <v>2</v>
      </c>
      <c r="E17" s="104">
        <f>VLOOKUP(A17,Materiales3[],5,FALSE)*D17</f>
        <v>0.93333333333333324</v>
      </c>
      <c r="F17" s="42">
        <f>VLOOKUP(A17,Materiales3[],6,FALSE)</f>
        <v>0</v>
      </c>
      <c r="G17" s="42">
        <f t="shared" si="0"/>
        <v>0</v>
      </c>
    </row>
    <row r="18" spans="1:7" ht="14.5">
      <c r="A18" s="89">
        <v>46</v>
      </c>
      <c r="B18" s="69" t="str">
        <f>VLOOKUP(A18,Materiales3[],3,FALSE)</f>
        <v>Uniones, curvas y terminales PVC. Varios calibres</v>
      </c>
      <c r="C18" s="40" t="str">
        <f>VLOOKUP(A18,Materiales3[],4,FALSE)</f>
        <v>UN</v>
      </c>
      <c r="D18" s="40">
        <v>8</v>
      </c>
      <c r="E18" s="104">
        <f>VLOOKUP(A18,Materiales3[],5,FALSE)*D18</f>
        <v>0.64</v>
      </c>
      <c r="F18" s="42">
        <f>VLOOKUP(A18,Materiales3[],6,FALSE)</f>
        <v>0</v>
      </c>
      <c r="G18" s="42">
        <f t="shared" si="0"/>
        <v>0</v>
      </c>
    </row>
    <row r="19" spans="1:7" ht="13">
      <c r="D19" s="47"/>
      <c r="E19" s="47"/>
      <c r="F19" s="48" t="s">
        <v>654</v>
      </c>
      <c r="G19" s="49">
        <f>SUM(G8:G18)</f>
        <v>0</v>
      </c>
    </row>
    <row r="20" spans="1:7">
      <c r="G20" s="73"/>
    </row>
    <row r="21" spans="1:7" ht="13">
      <c r="B21" s="50" t="s">
        <v>655</v>
      </c>
      <c r="G21" s="74"/>
    </row>
    <row r="22" spans="1:7" ht="13">
      <c r="A22" s="88" t="s">
        <v>138</v>
      </c>
      <c r="B22" s="37" t="s">
        <v>19</v>
      </c>
      <c r="C22" s="38" t="s">
        <v>665</v>
      </c>
      <c r="D22" s="38" t="s">
        <v>656</v>
      </c>
      <c r="E22" s="38"/>
      <c r="F22" s="38" t="s">
        <v>21</v>
      </c>
      <c r="G22" s="38" t="s">
        <v>286</v>
      </c>
    </row>
    <row r="23" spans="1:7" ht="14.5">
      <c r="A23" s="89">
        <v>1</v>
      </c>
      <c r="B23" s="43" t="str">
        <f>VLOOKUP(A23,Equipoyherramienta[],2,FALSE)</f>
        <v>Herramienta menor</v>
      </c>
      <c r="C23" s="44" t="str">
        <f>VLOOKUP(A23,Equipoyherramienta[],3,FALSE)</f>
        <v>UN</v>
      </c>
      <c r="D23" s="51">
        <f>VLOOKUP(A23,Equipoyherramienta[],4,FALSE)</f>
        <v>0</v>
      </c>
      <c r="E23" s="51"/>
      <c r="F23" s="71">
        <f>+RENDIMIENTOS!C44</f>
        <v>4</v>
      </c>
      <c r="G23" s="51">
        <f>ROUND(D23/F23,0)</f>
        <v>0</v>
      </c>
    </row>
    <row r="24" spans="1:7">
      <c r="B24" s="43"/>
      <c r="C24" s="44"/>
      <c r="D24" s="46"/>
      <c r="E24" s="46"/>
      <c r="F24" s="52"/>
      <c r="G24" s="53"/>
    </row>
    <row r="25" spans="1:7">
      <c r="B25" s="43"/>
      <c r="C25" s="44"/>
      <c r="D25" s="46"/>
      <c r="E25" s="46"/>
      <c r="F25" s="52"/>
      <c r="G25" s="53"/>
    </row>
    <row r="26" spans="1:7" ht="13">
      <c r="D26" s="47"/>
      <c r="E26" s="47"/>
      <c r="F26" s="48" t="s">
        <v>654</v>
      </c>
      <c r="G26" s="49">
        <f>SUM(G23:G25)</f>
        <v>0</v>
      </c>
    </row>
    <row r="27" spans="1:7" ht="13">
      <c r="D27" s="47"/>
      <c r="E27" s="47"/>
      <c r="F27" s="47"/>
      <c r="G27" s="54"/>
    </row>
    <row r="28" spans="1:7" ht="13">
      <c r="B28" s="36" t="s">
        <v>657</v>
      </c>
      <c r="G28" s="55"/>
    </row>
    <row r="29" spans="1:7" ht="13">
      <c r="A29" s="88" t="s">
        <v>138</v>
      </c>
      <c r="B29" s="37" t="s">
        <v>19</v>
      </c>
      <c r="C29" s="38" t="s">
        <v>284</v>
      </c>
      <c r="D29" s="38" t="s">
        <v>410</v>
      </c>
      <c r="E29" s="38"/>
      <c r="F29" s="38" t="s">
        <v>666</v>
      </c>
      <c r="G29" s="56" t="s">
        <v>286</v>
      </c>
    </row>
    <row r="30" spans="1:7" ht="58.9" customHeight="1">
      <c r="A30" s="89">
        <v>6</v>
      </c>
      <c r="B30" s="57" t="str">
        <f>VLOOKUP(A30,Transp.[],2,FALSE)</f>
        <v>Carga terrestre desde Barranquilla hasta Usuario, incluye cargues, descargues, cruces de río, transporte semoviente, transporte en vehículo de carga pesada y cualquier otro tranposte.</v>
      </c>
      <c r="C30" s="40" t="s">
        <v>667</v>
      </c>
      <c r="D30" s="41">
        <f>SUM(E8:E18)</f>
        <v>7.9909999999999997</v>
      </c>
      <c r="E30" s="41"/>
      <c r="F30" s="59">
        <f>VLOOKUP(A30,Transp.[],6,FALSE)</f>
        <v>0</v>
      </c>
      <c r="G30" s="59">
        <f>D30*F30</f>
        <v>0</v>
      </c>
    </row>
    <row r="31" spans="1:7" ht="13.15" customHeight="1">
      <c r="A31" s="89"/>
      <c r="B31" s="57"/>
      <c r="C31" s="40"/>
      <c r="D31" s="41"/>
      <c r="E31" s="41"/>
      <c r="F31" s="59"/>
      <c r="G31" s="59"/>
    </row>
    <row r="32" spans="1:7" ht="13.15" customHeight="1">
      <c r="A32" s="89"/>
      <c r="B32" s="57"/>
      <c r="C32" s="40"/>
      <c r="D32" s="41"/>
      <c r="E32" s="41"/>
      <c r="F32" s="59"/>
      <c r="G32" s="59"/>
    </row>
    <row r="33" spans="1:7" ht="13">
      <c r="D33" s="47"/>
      <c r="E33" s="47"/>
      <c r="F33" s="61" t="s">
        <v>654</v>
      </c>
      <c r="G33" s="49">
        <f>SUM(G30:G32)</f>
        <v>0</v>
      </c>
    </row>
    <row r="35" spans="1:7" ht="13">
      <c r="B35" s="36" t="s">
        <v>661</v>
      </c>
      <c r="D35" s="62"/>
      <c r="E35" s="62"/>
      <c r="F35" s="63"/>
      <c r="G35" s="55"/>
    </row>
    <row r="36" spans="1:7" s="47" customFormat="1" ht="13">
      <c r="A36" s="88" t="s">
        <v>138</v>
      </c>
      <c r="B36" s="38" t="s">
        <v>19</v>
      </c>
      <c r="C36" s="38" t="s">
        <v>662</v>
      </c>
      <c r="D36" s="38" t="s">
        <v>663</v>
      </c>
      <c r="E36" s="38"/>
      <c r="F36" s="38" t="s">
        <v>21</v>
      </c>
      <c r="G36" s="56" t="s">
        <v>286</v>
      </c>
    </row>
    <row r="37" spans="1:7" ht="14.5">
      <c r="A37" s="89">
        <v>1</v>
      </c>
      <c r="B37" s="64" t="str">
        <f>VLOOKUP(A37,ManoObra[],2,FALSE)</f>
        <v>Electricista</v>
      </c>
      <c r="C37" s="65">
        <f>VLOOKUP(A37,ManoObra[],8,FALSE)</f>
        <v>0</v>
      </c>
      <c r="D37" s="52">
        <f>+FP!E27</f>
        <v>0</v>
      </c>
      <c r="E37" s="52"/>
      <c r="F37" s="71">
        <f>+F23</f>
        <v>4</v>
      </c>
      <c r="G37" s="51">
        <f>ROUND(C37*D37/F37,0)</f>
        <v>0</v>
      </c>
    </row>
    <row r="38" spans="1:7" ht="14.5">
      <c r="A38" s="89">
        <v>2</v>
      </c>
      <c r="B38" s="64" t="str">
        <f>VLOOKUP(A38,ManoObra[],2,FALSE)</f>
        <v>Ayudante</v>
      </c>
      <c r="C38" s="65">
        <f>VLOOKUP(A38,ManoObra[],8,FALSE)</f>
        <v>0</v>
      </c>
      <c r="D38" s="52">
        <f>+FP!E27</f>
        <v>0</v>
      </c>
      <c r="E38" s="52"/>
      <c r="F38" s="71">
        <f>+F37</f>
        <v>4</v>
      </c>
      <c r="G38" s="51">
        <f>ROUND(C38*D38/F38,0)</f>
        <v>0</v>
      </c>
    </row>
    <row r="39" spans="1:7" ht="14.5">
      <c r="A39" s="89"/>
      <c r="B39" s="70"/>
      <c r="C39" s="65"/>
      <c r="D39" s="52"/>
      <c r="E39" s="52"/>
      <c r="F39" s="45"/>
      <c r="G39" s="51"/>
    </row>
    <row r="40" spans="1:7" ht="13">
      <c r="D40" s="47"/>
      <c r="E40" s="47"/>
      <c r="F40" s="61" t="s">
        <v>654</v>
      </c>
      <c r="G40" s="75">
        <f>SUM(G37:G39)</f>
        <v>0</v>
      </c>
    </row>
    <row r="41" spans="1:7" ht="13">
      <c r="D41" s="47"/>
      <c r="E41" s="47"/>
      <c r="G41" s="55"/>
    </row>
    <row r="42" spans="1:7" ht="12.75" customHeight="1">
      <c r="B42" s="47"/>
      <c r="D42" s="652" t="s">
        <v>664</v>
      </c>
      <c r="E42" s="654"/>
      <c r="F42" s="653"/>
      <c r="G42" s="66">
        <f>G19+G26+G33+G40</f>
        <v>0</v>
      </c>
    </row>
  </sheetData>
  <mergeCells count="3">
    <mergeCell ref="B1:G1"/>
    <mergeCell ref="B4:E4"/>
    <mergeCell ref="D42:F42"/>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3861-7BD3-4428-B02C-2455B8FBE775}">
  <sheetPr codeName="Hoja6">
    <tabColor theme="4" tint="0.59999389629810485"/>
  </sheetPr>
  <dimension ref="A2:E31"/>
  <sheetViews>
    <sheetView showGridLines="0" view="pageBreakPreview" topLeftCell="A10" zoomScale="80" zoomScaleNormal="120" zoomScaleSheetLayoutView="80" workbookViewId="0">
      <selection activeCell="E26" sqref="E26"/>
    </sheetView>
  </sheetViews>
  <sheetFormatPr baseColWidth="10" defaultColWidth="11.453125" defaultRowHeight="12.5"/>
  <cols>
    <col min="4" max="4" width="14.453125" customWidth="1"/>
  </cols>
  <sheetData>
    <row r="2" spans="1:5" ht="13">
      <c r="A2" s="553" t="s">
        <v>251</v>
      </c>
      <c r="B2" s="554"/>
      <c r="C2" s="554"/>
      <c r="D2" s="554"/>
      <c r="E2" s="555"/>
    </row>
    <row r="3" spans="1:5" ht="13">
      <c r="A3" s="556" t="s">
        <v>252</v>
      </c>
      <c r="B3" s="557"/>
      <c r="C3" s="557"/>
      <c r="D3" s="557"/>
      <c r="E3" s="558"/>
    </row>
    <row r="4" spans="1:5">
      <c r="A4" s="76" t="s">
        <v>253</v>
      </c>
      <c r="B4" s="77"/>
      <c r="C4" s="77"/>
      <c r="D4" s="77"/>
      <c r="E4" s="78"/>
    </row>
    <row r="5" spans="1:5">
      <c r="A5" s="76" t="s">
        <v>254</v>
      </c>
      <c r="B5" s="77"/>
      <c r="C5" s="77"/>
      <c r="D5" s="77"/>
      <c r="E5" s="78"/>
    </row>
    <row r="6" spans="1:5" ht="13">
      <c r="A6" s="556" t="s">
        <v>255</v>
      </c>
      <c r="B6" s="557"/>
      <c r="C6" s="557"/>
      <c r="D6" s="557"/>
      <c r="E6" s="558"/>
    </row>
    <row r="7" spans="1:5">
      <c r="A7" s="79" t="s">
        <v>256</v>
      </c>
      <c r="B7" s="77"/>
      <c r="C7" s="77"/>
      <c r="D7" s="77"/>
      <c r="E7" s="78"/>
    </row>
    <row r="8" spans="1:5">
      <c r="A8" s="79" t="s">
        <v>257</v>
      </c>
      <c r="B8" s="77"/>
      <c r="C8" s="77"/>
      <c r="D8" s="77"/>
      <c r="E8" s="78"/>
    </row>
    <row r="9" spans="1:5">
      <c r="A9" s="79" t="s">
        <v>258</v>
      </c>
      <c r="B9" s="77"/>
      <c r="C9" s="77"/>
      <c r="D9" s="77"/>
      <c r="E9" s="78"/>
    </row>
    <row r="10" spans="1:5">
      <c r="A10" s="79" t="s">
        <v>259</v>
      </c>
      <c r="B10" s="77"/>
      <c r="C10" s="77"/>
      <c r="D10" s="77"/>
      <c r="E10" s="78"/>
    </row>
    <row r="11" spans="1:5" ht="13">
      <c r="A11" s="80" t="s">
        <v>260</v>
      </c>
      <c r="B11" s="81"/>
      <c r="C11" s="81"/>
      <c r="D11" s="81"/>
      <c r="E11" s="82"/>
    </row>
    <row r="12" spans="1:5">
      <c r="A12" s="76" t="s">
        <v>261</v>
      </c>
      <c r="B12" s="77"/>
      <c r="C12" s="77"/>
      <c r="D12" s="77"/>
      <c r="E12" s="78"/>
    </row>
    <row r="13" spans="1:5">
      <c r="A13" s="76" t="s">
        <v>262</v>
      </c>
      <c r="B13" s="77"/>
      <c r="C13" s="77"/>
      <c r="D13" s="77"/>
      <c r="E13" s="78"/>
    </row>
    <row r="14" spans="1:5">
      <c r="A14" s="76" t="s">
        <v>263</v>
      </c>
      <c r="B14" s="77"/>
      <c r="C14" s="77"/>
      <c r="D14" s="77"/>
      <c r="E14" s="78"/>
    </row>
    <row r="15" spans="1:5">
      <c r="A15" s="76" t="s">
        <v>264</v>
      </c>
      <c r="B15" s="77"/>
      <c r="C15" s="77"/>
      <c r="D15" s="77"/>
      <c r="E15" s="78"/>
    </row>
    <row r="16" spans="1:5">
      <c r="A16" s="79" t="s">
        <v>265</v>
      </c>
      <c r="B16" s="77"/>
      <c r="C16" s="77"/>
      <c r="D16" s="77"/>
      <c r="E16" s="78"/>
    </row>
    <row r="17" spans="1:5" ht="13">
      <c r="A17" s="80" t="s">
        <v>266</v>
      </c>
      <c r="B17" s="83"/>
      <c r="C17" s="83"/>
      <c r="D17" s="83"/>
      <c r="E17" s="84"/>
    </row>
    <row r="18" spans="1:5">
      <c r="A18" s="79" t="s">
        <v>267</v>
      </c>
      <c r="B18" s="77"/>
      <c r="C18" s="77"/>
      <c r="D18" s="77"/>
      <c r="E18" s="78"/>
    </row>
    <row r="19" spans="1:5">
      <c r="A19" s="76" t="s">
        <v>268</v>
      </c>
      <c r="B19" s="77"/>
      <c r="C19" s="77"/>
      <c r="D19" s="77"/>
      <c r="E19" s="78"/>
    </row>
    <row r="20" spans="1:5">
      <c r="A20" s="79" t="s">
        <v>269</v>
      </c>
      <c r="B20" s="77"/>
      <c r="C20" s="77"/>
      <c r="D20" s="77"/>
      <c r="E20" s="78"/>
    </row>
    <row r="21" spans="1:5" ht="13">
      <c r="A21" s="80" t="s">
        <v>270</v>
      </c>
      <c r="B21" s="83"/>
      <c r="C21" s="83"/>
      <c r="D21" s="83"/>
      <c r="E21" s="84"/>
    </row>
    <row r="22" spans="1:5">
      <c r="A22" s="76" t="s">
        <v>271</v>
      </c>
      <c r="B22" s="77"/>
      <c r="C22" s="77"/>
      <c r="D22" s="77"/>
      <c r="E22" s="78"/>
    </row>
    <row r="23" spans="1:5">
      <c r="A23" s="76" t="s">
        <v>272</v>
      </c>
      <c r="B23" s="77"/>
      <c r="C23" s="77"/>
      <c r="D23" s="77"/>
      <c r="E23" s="78"/>
    </row>
    <row r="24" spans="1:5">
      <c r="A24" s="76" t="s">
        <v>273</v>
      </c>
      <c r="B24" s="77"/>
      <c r="C24" s="77"/>
      <c r="D24" s="77"/>
      <c r="E24" s="78"/>
    </row>
    <row r="25" spans="1:5">
      <c r="A25" s="76" t="s">
        <v>274</v>
      </c>
      <c r="B25" s="77"/>
      <c r="C25" s="77"/>
      <c r="D25" s="77"/>
      <c r="E25" s="78"/>
    </row>
    <row r="26" spans="1:5">
      <c r="A26" s="76" t="s">
        <v>275</v>
      </c>
      <c r="B26" s="77"/>
      <c r="C26" s="77"/>
      <c r="D26" s="77"/>
      <c r="E26" s="78"/>
    </row>
    <row r="27" spans="1:5" ht="13">
      <c r="A27" s="85" t="s">
        <v>276</v>
      </c>
      <c r="B27" s="86"/>
      <c r="C27" s="86"/>
      <c r="D27" s="86"/>
      <c r="E27" s="87">
        <f>SUM(E22:E26)</f>
        <v>0</v>
      </c>
    </row>
    <row r="28" spans="1:5">
      <c r="B28" s="24"/>
      <c r="C28" s="24"/>
      <c r="D28" s="24"/>
      <c r="E28" s="24"/>
    </row>
    <row r="29" spans="1:5" ht="42" customHeight="1">
      <c r="B29" s="24"/>
      <c r="C29" s="24"/>
      <c r="D29" s="24"/>
      <c r="E29" s="24"/>
    </row>
    <row r="30" spans="1:5">
      <c r="A30" s="25"/>
      <c r="B30" s="155"/>
    </row>
    <row r="31" spans="1:5">
      <c r="B31" s="140"/>
    </row>
  </sheetData>
  <mergeCells count="3">
    <mergeCell ref="A2:E2"/>
    <mergeCell ref="A3:E3"/>
    <mergeCell ref="A6:E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FBF82-FF03-4A02-94D9-90A5B2922B5E}">
  <sheetPr codeName="Hoja47">
    <tabColor theme="4" tint="0.59999389629810485"/>
    <pageSetUpPr fitToPage="1"/>
  </sheetPr>
  <dimension ref="A1:G37"/>
  <sheetViews>
    <sheetView showGridLines="0" view="pageBreakPreview" zoomScale="80" zoomScaleNormal="120" zoomScaleSheetLayoutView="80" workbookViewId="0">
      <selection activeCell="A4" sqref="A4:A3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KW'!A37</f>
        <v>3.4.2</v>
      </c>
      <c r="D3" s="31"/>
      <c r="E3" s="31"/>
      <c r="F3" s="31"/>
      <c r="G3" s="32" t="s">
        <v>652</v>
      </c>
    </row>
    <row r="4" spans="1:7" ht="61.9" customHeight="1">
      <c r="B4" s="649" t="str">
        <f>+'PRES MR 5 KW'!B37</f>
        <v>Sistema de puesta a tierra para usuario sistema fotovoltaico centralizado con una varilla de cobre 5/8" x 2,4m, bajante en cable de cobre desnudo Nº 6, con soldadura exotérmica y tratamiento de suelos, caja de inspección de 30 x 30 cm.</v>
      </c>
      <c r="C4" s="655"/>
      <c r="D4" s="655"/>
      <c r="E4" s="656"/>
      <c r="G4" s="33" t="str">
        <f>+'PRES MR 5 KW'!C37</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68</v>
      </c>
      <c r="B8" s="69" t="str">
        <f>VLOOKUP(A8,Materiales3[],3,FALSE)</f>
        <v>Varilla de cobre 5/8 x 2.4 m</v>
      </c>
      <c r="C8" s="40" t="str">
        <f>VLOOKUP(A8,Materiales3[],4,FALSE)</f>
        <v>UN</v>
      </c>
      <c r="D8" s="40">
        <v>1</v>
      </c>
      <c r="E8" s="40">
        <f>VLOOKUP(A8,Materiales3[],5,FALSE)*D8</f>
        <v>3.07</v>
      </c>
      <c r="F8" s="42">
        <f>VLOOKUP(A8,Materiales3[],6,FALSE)</f>
        <v>0</v>
      </c>
      <c r="G8" s="42">
        <f>D8*F8</f>
        <v>0</v>
      </c>
    </row>
    <row r="9" spans="1:7" ht="14.5">
      <c r="A9" s="89">
        <v>72</v>
      </c>
      <c r="B9" s="69" t="str">
        <f>VLOOKUP(A9,Materiales3[],3,FALSE)</f>
        <v>Caja de inspección 30x30 cm con tapa</v>
      </c>
      <c r="C9" s="40" t="str">
        <f>VLOOKUP(A9,Materiales3[],4,FALSE)</f>
        <v>UN</v>
      </c>
      <c r="D9" s="40">
        <v>1</v>
      </c>
      <c r="E9" s="40">
        <f>VLOOKUP(A9,Materiales3[],5,FALSE)*D9</f>
        <v>4</v>
      </c>
      <c r="F9" s="42">
        <f>VLOOKUP(A9,Materiales3[],6,FALSE)</f>
        <v>0</v>
      </c>
      <c r="G9" s="42">
        <f t="shared" ref="G9:G13" si="0">D9*F9</f>
        <v>0</v>
      </c>
    </row>
    <row r="10" spans="1:7" ht="14.5">
      <c r="A10" s="89">
        <v>24</v>
      </c>
      <c r="B10" s="69" t="str">
        <f>VLOOKUP(A10,Materiales3[],3,FALSE)</f>
        <v>Borna para ponchar varios calibres y terminales</v>
      </c>
      <c r="C10" s="40" t="str">
        <f>VLOOKUP(A10,Materiales3[],4,FALSE)</f>
        <v>UN</v>
      </c>
      <c r="D10" s="40">
        <v>2</v>
      </c>
      <c r="E10" s="40">
        <f>VLOOKUP(A10,Materiales3[],5,FALSE)*D10</f>
        <v>1.6E-2</v>
      </c>
      <c r="F10" s="42">
        <f>VLOOKUP(A10,Materiales3[],6,FALSE)</f>
        <v>0</v>
      </c>
      <c r="G10" s="42">
        <f t="shared" si="0"/>
        <v>0</v>
      </c>
    </row>
    <row r="11" spans="1:7" ht="14.5">
      <c r="A11" s="89">
        <v>69</v>
      </c>
      <c r="B11" s="69" t="str">
        <f>VLOOKUP(A11,Materiales3[],3,FALSE)</f>
        <v>Soldadura exotermina 90 gr</v>
      </c>
      <c r="C11" s="40" t="str">
        <f>VLOOKUP(A11,Materiales3[],4,FALSE)</f>
        <v>UN</v>
      </c>
      <c r="D11" s="40">
        <v>2</v>
      </c>
      <c r="E11" s="40">
        <f>VLOOKUP(A11,Materiales3[],5,FALSE)*D11</f>
        <v>0.18</v>
      </c>
      <c r="F11" s="42">
        <f>VLOOKUP(A11,Materiales3[],6,FALSE)</f>
        <v>0</v>
      </c>
      <c r="G11" s="42">
        <f t="shared" si="0"/>
        <v>0</v>
      </c>
    </row>
    <row r="12" spans="1:7" ht="14.5">
      <c r="A12" s="89">
        <v>212</v>
      </c>
      <c r="B12" s="69" t="str">
        <f>VLOOKUP(A12,Materiales3[],3,FALSE)</f>
        <v>Cable de Cobre Desnudo. 6 AWG</v>
      </c>
      <c r="C12" s="40" t="str">
        <f>VLOOKUP(A12,Materiales3[],4,FALSE)</f>
        <v>ML</v>
      </c>
      <c r="D12" s="40">
        <f>3+1</f>
        <v>4</v>
      </c>
      <c r="E12" s="40">
        <f>VLOOKUP(A12,Materiales3[],5,FALSE)*D12</f>
        <v>0.48</v>
      </c>
      <c r="F12" s="42">
        <f>VLOOKUP(A12,Materiales3[],6,FALSE)</f>
        <v>0</v>
      </c>
      <c r="G12" s="42">
        <f t="shared" si="0"/>
        <v>0</v>
      </c>
    </row>
    <row r="13" spans="1:7" ht="14.5">
      <c r="A13" s="89">
        <v>245</v>
      </c>
      <c r="B13" s="69" t="str">
        <f>VLOOKUP(A13,Materiales3[],3,FALSE)</f>
        <v>Bentonita mejorada</v>
      </c>
      <c r="C13" s="40" t="str">
        <f>VLOOKUP(A13,Materiales3[],4,FALSE)</f>
        <v>BULTO</v>
      </c>
      <c r="D13" s="40">
        <v>0.5</v>
      </c>
      <c r="E13" s="40">
        <f>VLOOKUP(A13,Materiales3[],5,FALSE)*D13</f>
        <v>25</v>
      </c>
      <c r="F13" s="42">
        <f>VLOOKUP(A13,Materiales3[],6,FALSE)</f>
        <v>0</v>
      </c>
      <c r="G13" s="42">
        <f t="shared" si="0"/>
        <v>0</v>
      </c>
    </row>
    <row r="14" spans="1:7" ht="13">
      <c r="D14" s="47"/>
      <c r="E14" s="47"/>
      <c r="F14" s="48" t="s">
        <v>654</v>
      </c>
      <c r="G14" s="49">
        <f>SUM(G8:G13)</f>
        <v>0</v>
      </c>
    </row>
    <row r="15" spans="1:7">
      <c r="G15" s="73"/>
    </row>
    <row r="16" spans="1:7" ht="13">
      <c r="B16" s="50" t="s">
        <v>655</v>
      </c>
      <c r="G16" s="74"/>
    </row>
    <row r="17" spans="1:7" ht="13">
      <c r="A17" s="88" t="s">
        <v>138</v>
      </c>
      <c r="B17" s="37" t="s">
        <v>19</v>
      </c>
      <c r="C17" s="38" t="s">
        <v>665</v>
      </c>
      <c r="D17" s="38" t="s">
        <v>656</v>
      </c>
      <c r="E17" s="38"/>
      <c r="F17" s="38" t="s">
        <v>21</v>
      </c>
      <c r="G17" s="38" t="s">
        <v>286</v>
      </c>
    </row>
    <row r="18" spans="1:7" ht="14.5">
      <c r="A18" s="89">
        <v>1</v>
      </c>
      <c r="B18" s="43" t="str">
        <f>VLOOKUP(A18,Equipoyherramienta[],2,FALSE)</f>
        <v>Herramienta menor</v>
      </c>
      <c r="C18" s="44" t="str">
        <f>VLOOKUP(A18,Equipoyherramienta[],3,FALSE)</f>
        <v>UN</v>
      </c>
      <c r="D18" s="51">
        <f>VLOOKUP(A18,Equipoyherramienta[],4,FALSE)</f>
        <v>0</v>
      </c>
      <c r="E18" s="51"/>
      <c r="F18" s="71">
        <f>+RENDIMIENTOS!C45</f>
        <v>2</v>
      </c>
      <c r="G18" s="51">
        <f>ROUND(D18/F18,0)</f>
        <v>0</v>
      </c>
    </row>
    <row r="19" spans="1:7">
      <c r="B19" s="43"/>
      <c r="C19" s="44"/>
      <c r="D19" s="46"/>
      <c r="E19" s="46"/>
      <c r="F19" s="52"/>
      <c r="G19" s="53"/>
    </row>
    <row r="20" spans="1:7">
      <c r="B20" s="43"/>
      <c r="C20" s="44"/>
      <c r="D20" s="46"/>
      <c r="E20" s="46"/>
      <c r="F20" s="52"/>
      <c r="G20" s="53"/>
    </row>
    <row r="21" spans="1:7" ht="13">
      <c r="D21" s="47"/>
      <c r="E21" s="47"/>
      <c r="F21" s="48" t="s">
        <v>654</v>
      </c>
      <c r="G21" s="49">
        <f>SUM(G18:G20)</f>
        <v>0</v>
      </c>
    </row>
    <row r="22" spans="1:7" ht="13">
      <c r="D22" s="47"/>
      <c r="E22" s="47"/>
      <c r="F22" s="47"/>
      <c r="G22" s="54"/>
    </row>
    <row r="23" spans="1:7" ht="13">
      <c r="B23" s="36" t="s">
        <v>657</v>
      </c>
      <c r="G23" s="55"/>
    </row>
    <row r="24" spans="1:7" ht="13">
      <c r="A24" s="88" t="s">
        <v>138</v>
      </c>
      <c r="B24" s="37" t="s">
        <v>19</v>
      </c>
      <c r="C24" s="38" t="s">
        <v>284</v>
      </c>
      <c r="D24" s="38" t="s">
        <v>410</v>
      </c>
      <c r="E24" s="38"/>
      <c r="F24" s="38" t="s">
        <v>666</v>
      </c>
      <c r="G24" s="56" t="s">
        <v>286</v>
      </c>
    </row>
    <row r="25" spans="1:7"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SUM(E8:E13)</f>
        <v>32.746000000000002</v>
      </c>
      <c r="E25" s="41"/>
      <c r="F25" s="59">
        <f>VLOOKUP(A25,Transp.[],6,FALSE)</f>
        <v>0</v>
      </c>
      <c r="G25" s="59">
        <f>D25*F25</f>
        <v>0</v>
      </c>
    </row>
    <row r="26" spans="1:7" ht="13.15" customHeight="1">
      <c r="A26" s="89"/>
      <c r="B26" s="57"/>
      <c r="C26" s="40"/>
      <c r="D26" s="41"/>
      <c r="E26" s="41"/>
      <c r="F26" s="59"/>
      <c r="G26" s="59"/>
    </row>
    <row r="27" spans="1:7" ht="13.15" customHeight="1">
      <c r="A27" s="89"/>
      <c r="B27" s="57"/>
      <c r="C27" s="40"/>
      <c r="D27" s="41"/>
      <c r="E27" s="41"/>
      <c r="F27" s="59"/>
      <c r="G27" s="59"/>
    </row>
    <row r="28" spans="1:7" ht="13">
      <c r="D28" s="47"/>
      <c r="E28" s="47"/>
      <c r="F28" s="61" t="s">
        <v>654</v>
      </c>
      <c r="G28" s="49">
        <f>SUM(G25:G27)</f>
        <v>0</v>
      </c>
    </row>
    <row r="30" spans="1:7" ht="13">
      <c r="B30" s="36" t="s">
        <v>661</v>
      </c>
      <c r="D30" s="62"/>
      <c r="E30" s="62"/>
      <c r="F30" s="63"/>
      <c r="G30" s="55"/>
    </row>
    <row r="31" spans="1:7" s="47" customFormat="1" ht="13">
      <c r="A31" s="88" t="s">
        <v>138</v>
      </c>
      <c r="B31" s="38" t="s">
        <v>19</v>
      </c>
      <c r="C31" s="38" t="s">
        <v>662</v>
      </c>
      <c r="D31" s="38" t="s">
        <v>663</v>
      </c>
      <c r="E31" s="38"/>
      <c r="F31" s="38" t="s">
        <v>21</v>
      </c>
      <c r="G31" s="56" t="s">
        <v>286</v>
      </c>
    </row>
    <row r="32" spans="1:7" ht="14.5">
      <c r="A32" s="89">
        <v>1</v>
      </c>
      <c r="B32" s="64" t="str">
        <f>VLOOKUP(A32,ManoObra[],2,FALSE)</f>
        <v>Electricista</v>
      </c>
      <c r="C32" s="65">
        <f>VLOOKUP(A32,ManoObra[],8,FALSE)</f>
        <v>0</v>
      </c>
      <c r="D32" s="52">
        <f>+FP!E27</f>
        <v>0</v>
      </c>
      <c r="E32" s="52"/>
      <c r="F32" s="71">
        <f>F18</f>
        <v>2</v>
      </c>
      <c r="G32" s="51">
        <f>ROUND(C32*D32/F32,0)</f>
        <v>0</v>
      </c>
    </row>
    <row r="33" spans="1:7" ht="14.5">
      <c r="A33" s="89">
        <v>2</v>
      </c>
      <c r="B33" s="64" t="str">
        <f>VLOOKUP(A33,ManoObra[],2,FALSE)</f>
        <v>Ayudante</v>
      </c>
      <c r="C33" s="65">
        <f>VLOOKUP(A33,ManoObra[],8,FALSE)</f>
        <v>0</v>
      </c>
      <c r="D33" s="52">
        <f>+FP!E27</f>
        <v>0</v>
      </c>
      <c r="E33" s="52"/>
      <c r="F33" s="71">
        <f>F18</f>
        <v>2</v>
      </c>
      <c r="G33" s="51">
        <f>ROUND(C33*D33/F33,0)</f>
        <v>0</v>
      </c>
    </row>
    <row r="34" spans="1:7" ht="14.5">
      <c r="A34" s="89"/>
      <c r="B34" s="70"/>
      <c r="C34" s="65"/>
      <c r="D34" s="52"/>
      <c r="E34" s="52"/>
      <c r="F34" s="45"/>
      <c r="G34" s="51"/>
    </row>
    <row r="35" spans="1:7" ht="13">
      <c r="D35" s="47"/>
      <c r="E35" s="47"/>
      <c r="F35" s="61" t="s">
        <v>654</v>
      </c>
      <c r="G35" s="75">
        <f>SUM(G32:G34)</f>
        <v>0</v>
      </c>
    </row>
    <row r="36" spans="1:7" ht="13">
      <c r="D36" s="47"/>
      <c r="E36" s="47"/>
      <c r="G36" s="55"/>
    </row>
    <row r="37" spans="1:7" ht="12.75" customHeight="1">
      <c r="B37" s="47"/>
      <c r="D37" s="652" t="s">
        <v>664</v>
      </c>
      <c r="E37" s="654"/>
      <c r="F37" s="653"/>
      <c r="G37" s="66">
        <f>G14+G21+G28+G35</f>
        <v>0</v>
      </c>
    </row>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D627-B482-4652-823E-877CB4E7CBC5}">
  <sheetPr codeName="Hoja49">
    <tabColor theme="4" tint="0.59999389629810485"/>
    <pageSetUpPr fitToPage="1"/>
  </sheetPr>
  <dimension ref="A1:G48"/>
  <sheetViews>
    <sheetView showGridLines="0" view="pageBreakPreview" zoomScale="80" zoomScaleNormal="120" zoomScaleSheetLayoutView="80" workbookViewId="0">
      <selection activeCell="A4" sqref="A4:A48"/>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MR 5 KW'!A39</f>
        <v>3.5.1</v>
      </c>
      <c r="D3" s="31"/>
      <c r="E3" s="31"/>
      <c r="F3" s="31"/>
      <c r="G3" s="32" t="s">
        <v>652</v>
      </c>
    </row>
    <row r="4" spans="1:7" ht="61.9" customHeight="1">
      <c r="B4" s="649" t="str">
        <f>+'PRES MR 5 KW'!B39</f>
        <v>Instalaciones Internas que incluyan 4 salidas de alumbrado y 5 tomacorrientes. Se considera implementación de hasta 27 metros de tubería EMT de 1/2" y hasta 80 mts de cable de cobre aislado THHN No. 12 AWG</v>
      </c>
      <c r="C4" s="655"/>
      <c r="D4" s="655"/>
      <c r="E4" s="656"/>
      <c r="G4" s="33" t="str">
        <f>+'PRES MR 5 KW'!C39</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105">
        <v>118</v>
      </c>
      <c r="B8" s="69" t="str">
        <f>VLOOKUP(A8,Materiales3[],3,FALSE)</f>
        <v>Tablero de distribución 1Ø - 3H de 4 circuitos</v>
      </c>
      <c r="C8" s="40" t="str">
        <f>VLOOKUP(A8,Materiales3[],4,FALSE)</f>
        <v>UN</v>
      </c>
      <c r="D8" s="40">
        <v>1</v>
      </c>
      <c r="E8" s="40">
        <f>VLOOKUP(A8,Materiales3[],5,FALSE)*D8</f>
        <v>1.21</v>
      </c>
      <c r="F8" s="42">
        <f>VLOOKUP(A8,Materiales3[],6,FALSE)</f>
        <v>0</v>
      </c>
      <c r="G8" s="42">
        <f>D8*F8</f>
        <v>0</v>
      </c>
    </row>
    <row r="9" spans="1:7" ht="25">
      <c r="A9" s="105">
        <v>119</v>
      </c>
      <c r="B9" s="69" t="str">
        <f>VLOOKUP(A9,Materiales3[],3,FALSE)</f>
        <v>Interruptor termomagnético enchufable 1 x 20 A, 120 VAC - 10 KA</v>
      </c>
      <c r="C9" s="40" t="str">
        <f>VLOOKUP(A9,Materiales3[],4,FALSE)</f>
        <v>UN</v>
      </c>
      <c r="D9" s="106">
        <v>3</v>
      </c>
      <c r="E9" s="40">
        <f>VLOOKUP(A9,Materiales3[],5,FALSE)*D9</f>
        <v>0.72</v>
      </c>
      <c r="F9" s="42">
        <f>VLOOKUP(A9,Materiales3[],6,FALSE)</f>
        <v>0</v>
      </c>
      <c r="G9" s="42">
        <f t="shared" ref="G9:G12" si="0">D9*F9</f>
        <v>0</v>
      </c>
    </row>
    <row r="10" spans="1:7" ht="14.5">
      <c r="A10" s="105">
        <v>120</v>
      </c>
      <c r="B10" s="69" t="str">
        <f>VLOOKUP(A10,Materiales3[],3,FALSE)</f>
        <v>Caja PVC 4" x 4" con tapa lisa</v>
      </c>
      <c r="C10" s="40" t="str">
        <f>VLOOKUP(A10,Materiales3[],4,FALSE)</f>
        <v>UN</v>
      </c>
      <c r="D10" s="106">
        <v>2</v>
      </c>
      <c r="E10" s="40">
        <f>VLOOKUP(A10,Materiales3[],5,FALSE)*D10</f>
        <v>0.13600000000000001</v>
      </c>
      <c r="F10" s="42">
        <f>VLOOKUP(A10,Materiales3[],6,FALSE)</f>
        <v>0</v>
      </c>
      <c r="G10" s="42">
        <f t="shared" si="0"/>
        <v>0</v>
      </c>
    </row>
    <row r="11" spans="1:7" ht="14.5">
      <c r="A11" s="105">
        <v>121</v>
      </c>
      <c r="B11" s="69" t="str">
        <f>VLOOKUP(A11,Materiales3[],3,FALSE)</f>
        <v>Plafón de losa</v>
      </c>
      <c r="C11" s="40" t="str">
        <f>VLOOKUP(A11,Materiales3[],4,FALSE)</f>
        <v>UN</v>
      </c>
      <c r="D11" s="106">
        <v>4</v>
      </c>
      <c r="E11" s="40">
        <f>VLOOKUP(A11,Materiales3[],5,FALSE)*D11</f>
        <v>0.23599999999999999</v>
      </c>
      <c r="F11" s="42">
        <f>VLOOKUP(A11,Materiales3[],6,FALSE)</f>
        <v>0</v>
      </c>
      <c r="G11" s="42">
        <f t="shared" si="0"/>
        <v>0</v>
      </c>
    </row>
    <row r="12" spans="1:7" ht="14.5">
      <c r="A12" s="105">
        <v>122</v>
      </c>
      <c r="B12" s="69" t="str">
        <f>VLOOKUP(A12,Materiales3[],3,FALSE)</f>
        <v>Interruptor sencillo</v>
      </c>
      <c r="C12" s="40" t="str">
        <f>VLOOKUP(A12,Materiales3[],4,FALSE)</f>
        <v>UN</v>
      </c>
      <c r="D12" s="106">
        <v>4</v>
      </c>
      <c r="E12" s="40">
        <f>VLOOKUP(A12,Materiales3[],5,FALSE)*D12</f>
        <v>0.12</v>
      </c>
      <c r="F12" s="42">
        <f>VLOOKUP(A12,Materiales3[],6,FALSE)</f>
        <v>0</v>
      </c>
      <c r="G12" s="42">
        <f t="shared" si="0"/>
        <v>0</v>
      </c>
    </row>
    <row r="13" spans="1:7" ht="14.5">
      <c r="A13" s="105">
        <v>123</v>
      </c>
      <c r="B13" s="69" t="str">
        <f>VLOOKUP(A13,Materiales3[],3,FALSE)</f>
        <v>Conector tipo resorte No 12 AWG</v>
      </c>
      <c r="C13" s="40" t="str">
        <f>VLOOKUP(A13,Materiales3[],4,FALSE)</f>
        <v>UN</v>
      </c>
      <c r="D13" s="106">
        <v>16</v>
      </c>
      <c r="E13" s="40">
        <f>VLOOKUP(A13,Materiales3[],5,FALSE)*D13</f>
        <v>0.16</v>
      </c>
      <c r="F13" s="42">
        <f>VLOOKUP(A13,Materiales3[],6,FALSE)</f>
        <v>0</v>
      </c>
      <c r="G13" s="42">
        <f t="shared" ref="G13:G24" si="1">D13*F13</f>
        <v>0</v>
      </c>
    </row>
    <row r="14" spans="1:7" ht="14.5">
      <c r="A14" s="105">
        <v>124</v>
      </c>
      <c r="B14" s="69" t="str">
        <f>VLOOKUP(A14,Materiales3[],3,FALSE)</f>
        <v>Cable Cu THHN 12 AWG</v>
      </c>
      <c r="C14" s="40" t="str">
        <f>VLOOKUP(A14,Materiales3[],4,FALSE)</f>
        <v>ML</v>
      </c>
      <c r="D14" s="106">
        <v>81</v>
      </c>
      <c r="E14" s="40">
        <f>VLOOKUP(A14,Materiales3[],5,FALSE)*D14</f>
        <v>2.754</v>
      </c>
      <c r="F14" s="42">
        <f>VLOOKUP(A14,Materiales3[],6,FALSE)</f>
        <v>0</v>
      </c>
      <c r="G14" s="42">
        <f t="shared" si="1"/>
        <v>0</v>
      </c>
    </row>
    <row r="15" spans="1:7" ht="14.5">
      <c r="A15" s="105">
        <v>125</v>
      </c>
      <c r="B15" s="69" t="str">
        <f>VLOOKUP(A15,Materiales3[],3,FALSE)</f>
        <v>Tornillo metálico galvanizado 1/4" x 1" con arandela</v>
      </c>
      <c r="C15" s="40" t="str">
        <f>VLOOKUP(A15,Materiales3[],4,FALSE)</f>
        <v>UN</v>
      </c>
      <c r="D15" s="106">
        <v>80</v>
      </c>
      <c r="E15" s="40">
        <f>VLOOKUP(A15,Materiales3[],5,FALSE)*D15</f>
        <v>0.08</v>
      </c>
      <c r="F15" s="42">
        <f>VLOOKUP(A15,Materiales3[],6,FALSE)</f>
        <v>0</v>
      </c>
      <c r="G15" s="42">
        <f t="shared" si="1"/>
        <v>0</v>
      </c>
    </row>
    <row r="16" spans="1:7" ht="14.5">
      <c r="A16" s="105">
        <v>126</v>
      </c>
      <c r="B16" s="69" t="str">
        <f>VLOOKUP(A16,Materiales3[],3,FALSE)</f>
        <v>Caja PVC Octagonal</v>
      </c>
      <c r="C16" s="40" t="str">
        <f>VLOOKUP(A16,Materiales3[],4,FALSE)</f>
        <v>UN</v>
      </c>
      <c r="D16" s="106">
        <v>4</v>
      </c>
      <c r="E16" s="40">
        <f>VLOOKUP(A16,Materiales3[],5,FALSE)*D16</f>
        <v>0.2</v>
      </c>
      <c r="F16" s="42">
        <f>VLOOKUP(A16,Materiales3[],6,FALSE)</f>
        <v>0</v>
      </c>
      <c r="G16" s="42">
        <f t="shared" si="1"/>
        <v>0</v>
      </c>
    </row>
    <row r="17" spans="1:7" ht="14.5">
      <c r="A17" s="105">
        <v>81</v>
      </c>
      <c r="B17" s="69" t="str">
        <f>VLOOKUP(A17,Materiales3[],3,FALSE)</f>
        <v>Abrazadera metálica galvanizada doble ala 3/4"</v>
      </c>
      <c r="C17" s="40" t="str">
        <f>VLOOKUP(A17,Materiales3[],4,FALSE)</f>
        <v>UN</v>
      </c>
      <c r="D17" s="106">
        <v>40</v>
      </c>
      <c r="E17" s="40">
        <f>VLOOKUP(A17,Materiales3[],5,FALSE)*D17</f>
        <v>2</v>
      </c>
      <c r="F17" s="42">
        <f>VLOOKUP(A17,Materiales3[],6,FALSE)</f>
        <v>0</v>
      </c>
      <c r="G17" s="42">
        <f t="shared" si="1"/>
        <v>0</v>
      </c>
    </row>
    <row r="18" spans="1:7" ht="14.5">
      <c r="A18" s="105">
        <v>66</v>
      </c>
      <c r="B18" s="69" t="str">
        <f>VLOOKUP(A18,Materiales3[],3,FALSE)</f>
        <v>Caja PVC 2" x 4"</v>
      </c>
      <c r="C18" s="40" t="str">
        <f>VLOOKUP(A18,Materiales3[],4,FALSE)</f>
        <v>UN</v>
      </c>
      <c r="D18" s="106">
        <f>4+5</f>
        <v>9</v>
      </c>
      <c r="E18" s="40">
        <f>VLOOKUP(A18,Materiales3[],5,FALSE)*D18</f>
        <v>0.09</v>
      </c>
      <c r="F18" s="42">
        <f>VLOOKUP(A18,Materiales3[],6,FALSE)</f>
        <v>0</v>
      </c>
      <c r="G18" s="42">
        <f t="shared" si="1"/>
        <v>0</v>
      </c>
    </row>
    <row r="19" spans="1:7" ht="14.5">
      <c r="A19" s="105">
        <v>65</v>
      </c>
      <c r="B19" s="69" t="str">
        <f>VLOOKUP(A19,Materiales3[],3,FALSE)</f>
        <v>Tomacorriente doble con polo a tierra</v>
      </c>
      <c r="C19" s="40" t="str">
        <f>VLOOKUP(A19,Materiales3[],4,FALSE)</f>
        <v>UN</v>
      </c>
      <c r="D19" s="106">
        <v>5</v>
      </c>
      <c r="E19" s="40">
        <f>VLOOKUP(A19,Materiales3[],5,FALSE)*D19</f>
        <v>0.05</v>
      </c>
      <c r="F19" s="42">
        <f>VLOOKUP(A19,Materiales3[],6,FALSE)</f>
        <v>0</v>
      </c>
      <c r="G19" s="42">
        <f t="shared" si="1"/>
        <v>0</v>
      </c>
    </row>
    <row r="20" spans="1:7" ht="14.5">
      <c r="A20" s="105">
        <v>321</v>
      </c>
      <c r="B20" s="69" t="str">
        <f>VLOOKUP(A20,Materiales3[],3,FALSE)</f>
        <v>Curva EMT 1/2"</v>
      </c>
      <c r="C20" s="40" t="str">
        <f>VLOOKUP(A20,Materiales3[],4,FALSE)</f>
        <v>UN</v>
      </c>
      <c r="D20" s="106">
        <v>2</v>
      </c>
      <c r="E20" s="40">
        <f>VLOOKUP(A20,Materiales3[],5,FALSE)*D20</f>
        <v>0.6</v>
      </c>
      <c r="F20" s="42">
        <f>VLOOKUP(A20,Materiales3[],6,FALSE)</f>
        <v>0</v>
      </c>
      <c r="G20" s="42">
        <f t="shared" si="1"/>
        <v>0</v>
      </c>
    </row>
    <row r="21" spans="1:7" ht="14.5">
      <c r="A21" s="105">
        <v>311</v>
      </c>
      <c r="B21" s="69" t="str">
        <f>VLOOKUP(A21,Materiales3[],3,FALSE)</f>
        <v>Tubo EMT 1/2 x 3m</v>
      </c>
      <c r="C21" s="40" t="str">
        <f>VLOOKUP(A21,Materiales3[],4,FALSE)</f>
        <v>UN</v>
      </c>
      <c r="D21" s="106">
        <f>+ROUNDUP((27/3),0)</f>
        <v>9</v>
      </c>
      <c r="E21" s="40">
        <f>VLOOKUP(A21,Materiales3[],5,FALSE)*D21</f>
        <v>9</v>
      </c>
      <c r="F21" s="42">
        <f>VLOOKUP(A21,Materiales3[],6,FALSE)</f>
        <v>0</v>
      </c>
      <c r="G21" s="42">
        <f t="shared" si="1"/>
        <v>0</v>
      </c>
    </row>
    <row r="22" spans="1:7" ht="14.5">
      <c r="A22" s="105">
        <v>319</v>
      </c>
      <c r="B22" s="69" t="str">
        <f>VLOOKUP(A22,Materiales3[],3,FALSE)</f>
        <v>Union EMT 1/2"</v>
      </c>
      <c r="C22" s="40" t="str">
        <f>VLOOKUP(A22,Materiales3[],4,FALSE)</f>
        <v>UN</v>
      </c>
      <c r="D22" s="106">
        <v>8</v>
      </c>
      <c r="E22" s="40">
        <f>VLOOKUP(A22,Materiales3[],5,FALSE)*D22</f>
        <v>1.6</v>
      </c>
      <c r="F22" s="42">
        <f>VLOOKUP(A22,Materiales3[],6,FALSE)</f>
        <v>0</v>
      </c>
      <c r="G22" s="42">
        <f t="shared" si="1"/>
        <v>0</v>
      </c>
    </row>
    <row r="23" spans="1:7" ht="14.5">
      <c r="A23" s="105">
        <v>246</v>
      </c>
      <c r="B23" s="69" t="str">
        <f>VLOOKUP(A23,Materiales3[],3,FALSE)</f>
        <v>Cable Cu THHN 8 AWG</v>
      </c>
      <c r="C23" s="40" t="str">
        <f>VLOOKUP(A23,Materiales3[],4,FALSE)</f>
        <v>ML</v>
      </c>
      <c r="D23" s="106">
        <f>2.625+0.525*2</f>
        <v>3.6749999999999998</v>
      </c>
      <c r="E23" s="40">
        <f>VLOOKUP(A23,Materiales3[],5,FALSE)*D23</f>
        <v>0.3528</v>
      </c>
      <c r="F23" s="42">
        <f>VLOOKUP(A23,Materiales3[],6,FALSE)</f>
        <v>0</v>
      </c>
      <c r="G23" s="42">
        <f t="shared" si="1"/>
        <v>0</v>
      </c>
    </row>
    <row r="24" spans="1:7" ht="14.5">
      <c r="A24" s="105">
        <v>320</v>
      </c>
      <c r="B24" s="69" t="str">
        <f>VLOOKUP(A24,Materiales3[],3,FALSE)</f>
        <v>Terminal EMT 1/2"</v>
      </c>
      <c r="C24" s="40" t="str">
        <f>VLOOKUP(A24,Materiales3[],4,FALSE)</f>
        <v>UN</v>
      </c>
      <c r="D24" s="106">
        <v>24</v>
      </c>
      <c r="E24" s="40">
        <f>VLOOKUP(A24,Materiales3[],5,FALSE)*D24</f>
        <v>4.8000000000000007</v>
      </c>
      <c r="F24" s="42">
        <f>VLOOKUP(A24,Materiales3[],6,FALSE)</f>
        <v>0</v>
      </c>
      <c r="G24" s="42">
        <f t="shared" si="1"/>
        <v>0</v>
      </c>
    </row>
    <row r="25" spans="1:7" ht="13">
      <c r="D25" s="47"/>
      <c r="E25" s="47"/>
      <c r="F25" s="48" t="s">
        <v>654</v>
      </c>
      <c r="G25" s="49">
        <f>SUM(G8:G24)</f>
        <v>0</v>
      </c>
    </row>
    <row r="26" spans="1:7">
      <c r="G26" s="73"/>
    </row>
    <row r="27" spans="1:7" ht="13">
      <c r="B27" s="50" t="s">
        <v>655</v>
      </c>
      <c r="G27" s="74"/>
    </row>
    <row r="28" spans="1:7" ht="13">
      <c r="A28" s="88" t="s">
        <v>138</v>
      </c>
      <c r="B28" s="37" t="s">
        <v>19</v>
      </c>
      <c r="C28" s="38" t="s">
        <v>665</v>
      </c>
      <c r="D28" s="38" t="s">
        <v>656</v>
      </c>
      <c r="E28" s="38"/>
      <c r="F28" s="38" t="s">
        <v>21</v>
      </c>
      <c r="G28" s="38" t="s">
        <v>286</v>
      </c>
    </row>
    <row r="29" spans="1:7" ht="14.5">
      <c r="A29" s="89">
        <v>1</v>
      </c>
      <c r="B29" s="43" t="str">
        <f>VLOOKUP(A29,Equipoyherramienta[],2,FALSE)</f>
        <v>Herramienta menor</v>
      </c>
      <c r="C29" s="44" t="str">
        <f>VLOOKUP(A29,Equipoyherramienta[],3,FALSE)</f>
        <v>UN</v>
      </c>
      <c r="D29" s="51">
        <f>VLOOKUP(A29,Equipoyherramienta[],4,FALSE)</f>
        <v>0</v>
      </c>
      <c r="E29" s="51"/>
      <c r="F29" s="71">
        <f>+RENDIMIENTOS!C23</f>
        <v>2</v>
      </c>
      <c r="G29" s="51">
        <f>ROUND(D29/F29,0)</f>
        <v>0</v>
      </c>
    </row>
    <row r="30" spans="1:7">
      <c r="B30" s="43"/>
      <c r="C30" s="44"/>
      <c r="D30" s="46"/>
      <c r="E30" s="46"/>
      <c r="F30" s="52"/>
      <c r="G30" s="53"/>
    </row>
    <row r="31" spans="1:7">
      <c r="B31" s="43"/>
      <c r="C31" s="44"/>
      <c r="D31" s="46"/>
      <c r="E31" s="46"/>
      <c r="F31" s="52"/>
      <c r="G31" s="53"/>
    </row>
    <row r="32" spans="1:7" ht="13">
      <c r="D32" s="47"/>
      <c r="E32" s="47"/>
      <c r="F32" s="48" t="s">
        <v>654</v>
      </c>
      <c r="G32" s="49">
        <f>SUM(G29:G31)</f>
        <v>0</v>
      </c>
    </row>
    <row r="33" spans="1:7" ht="13">
      <c r="D33" s="47"/>
      <c r="E33" s="47"/>
      <c r="F33" s="47"/>
      <c r="G33" s="54"/>
    </row>
    <row r="34" spans="1:7" ht="13">
      <c r="B34" s="36" t="s">
        <v>657</v>
      </c>
      <c r="G34" s="55"/>
    </row>
    <row r="35" spans="1:7" ht="13">
      <c r="A35" s="88" t="s">
        <v>138</v>
      </c>
      <c r="B35" s="37" t="s">
        <v>19</v>
      </c>
      <c r="C35" s="38" t="s">
        <v>284</v>
      </c>
      <c r="D35" s="38" t="s">
        <v>410</v>
      </c>
      <c r="E35" s="38"/>
      <c r="F35" s="38" t="s">
        <v>666</v>
      </c>
      <c r="G35" s="56" t="s">
        <v>286</v>
      </c>
    </row>
    <row r="36" spans="1:7" ht="50">
      <c r="A36" s="89">
        <v>6</v>
      </c>
      <c r="B36" s="57" t="str">
        <f>VLOOKUP(A36,Transp.[],2,FALSE)</f>
        <v>Carga terrestre desde Barranquilla hasta Usuario, incluye cargues, descargues, cruces de río, transporte semoviente, transporte en vehículo de carga pesada y cualquier otro tranposte.</v>
      </c>
      <c r="C36" s="40" t="s">
        <v>667</v>
      </c>
      <c r="D36" s="41">
        <f>SUM(E8:E24)</f>
        <v>24.108800000000002</v>
      </c>
      <c r="E36" s="41"/>
      <c r="F36" s="59">
        <f>VLOOKUP(A36,Transp.[],6,FALSE)</f>
        <v>0</v>
      </c>
      <c r="G36" s="59">
        <f>D36*F36</f>
        <v>0</v>
      </c>
    </row>
    <row r="37" spans="1:7" ht="13.15" customHeight="1">
      <c r="A37" s="89"/>
      <c r="B37" s="57"/>
      <c r="C37" s="40"/>
      <c r="D37" s="41"/>
      <c r="E37" s="41"/>
      <c r="F37" s="59"/>
      <c r="G37" s="59"/>
    </row>
    <row r="38" spans="1:7" ht="13.15" customHeight="1">
      <c r="A38" s="89"/>
      <c r="B38" s="57"/>
      <c r="C38" s="40"/>
      <c r="D38" s="41"/>
      <c r="E38" s="41"/>
      <c r="F38" s="59"/>
      <c r="G38" s="59"/>
    </row>
    <row r="39" spans="1:7" ht="13">
      <c r="D39" s="47"/>
      <c r="E39" s="47"/>
      <c r="F39" s="61" t="s">
        <v>654</v>
      </c>
      <c r="G39" s="49">
        <f>SUM(G36:G38)</f>
        <v>0</v>
      </c>
    </row>
    <row r="41" spans="1:7" ht="13">
      <c r="B41" s="36" t="s">
        <v>661</v>
      </c>
      <c r="D41" s="62"/>
      <c r="E41" s="62"/>
      <c r="F41" s="63"/>
      <c r="G41" s="55"/>
    </row>
    <row r="42" spans="1:7" s="47" customFormat="1" ht="13">
      <c r="A42" s="88" t="s">
        <v>138</v>
      </c>
      <c r="B42" s="38" t="s">
        <v>19</v>
      </c>
      <c r="C42" s="38" t="s">
        <v>662</v>
      </c>
      <c r="D42" s="38" t="s">
        <v>663</v>
      </c>
      <c r="E42" s="38"/>
      <c r="F42" s="38" t="s">
        <v>21</v>
      </c>
      <c r="G42" s="56" t="s">
        <v>286</v>
      </c>
    </row>
    <row r="43" spans="1:7" ht="14.5">
      <c r="A43" s="89">
        <v>1</v>
      </c>
      <c r="B43" s="64" t="str">
        <f>VLOOKUP(A43,ManoObra[],2,FALSE)</f>
        <v>Electricista</v>
      </c>
      <c r="C43" s="65">
        <f>VLOOKUP(A43,ManoObra[],8,FALSE)</f>
        <v>0</v>
      </c>
      <c r="D43" s="52">
        <f>+FP!E27</f>
        <v>0</v>
      </c>
      <c r="E43" s="52"/>
      <c r="F43" s="71">
        <f>F29</f>
        <v>2</v>
      </c>
      <c r="G43" s="51">
        <f>ROUND(C43*D43/F43,0)</f>
        <v>0</v>
      </c>
    </row>
    <row r="44" spans="1:7" ht="14.5">
      <c r="A44" s="89">
        <v>2</v>
      </c>
      <c r="B44" s="64" t="str">
        <f>VLOOKUP(A44,ManoObra[],2,FALSE)</f>
        <v>Ayudante</v>
      </c>
      <c r="C44" s="65">
        <f>VLOOKUP(A44,ManoObra[],8,FALSE)</f>
        <v>0</v>
      </c>
      <c r="D44" s="52">
        <f>+FP!E27</f>
        <v>0</v>
      </c>
      <c r="E44" s="52"/>
      <c r="F44" s="71">
        <f>F29</f>
        <v>2</v>
      </c>
      <c r="G44" s="51">
        <f>ROUND(C44*D44/F44,0)</f>
        <v>0</v>
      </c>
    </row>
    <row r="45" spans="1:7" ht="14.5">
      <c r="A45" s="89"/>
      <c r="B45" s="70"/>
      <c r="C45" s="65"/>
      <c r="D45" s="52"/>
      <c r="E45" s="52"/>
      <c r="F45" s="45"/>
      <c r="G45" s="51"/>
    </row>
    <row r="46" spans="1:7" ht="13">
      <c r="D46" s="47"/>
      <c r="E46" s="47"/>
      <c r="F46" s="61" t="s">
        <v>654</v>
      </c>
      <c r="G46" s="75">
        <f>SUM(G43:G45)</f>
        <v>0</v>
      </c>
    </row>
    <row r="47" spans="1:7" ht="13">
      <c r="D47" s="47"/>
      <c r="E47" s="47"/>
      <c r="G47" s="55"/>
    </row>
    <row r="48" spans="1:7" ht="12.75" customHeight="1">
      <c r="B48" s="47"/>
      <c r="D48" s="652" t="s">
        <v>664</v>
      </c>
      <c r="E48" s="654"/>
      <c r="F48" s="653"/>
      <c r="G48" s="66">
        <f>G25+G32+G39+G46</f>
        <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8BE5F-C25E-4A0E-B5DB-052F7476D9A8}">
  <sheetPr>
    <tabColor theme="4" tint="0.59999389629810485"/>
    <pageSetUpPr fitToPage="1"/>
  </sheetPr>
  <dimension ref="A1:L34"/>
  <sheetViews>
    <sheetView showGridLines="0" view="pageBreakPreview" zoomScale="80" zoomScaleNormal="120" zoomScaleSheetLayoutView="80" workbookViewId="0">
      <selection activeCell="A3" sqref="A3:A34"/>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10"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10" ht="12.75" customHeight="1">
      <c r="B3" s="30" t="s">
        <v>651</v>
      </c>
      <c r="C3" s="182" t="str">
        <f>+'PRES GENERAL MR'!A18</f>
        <v>4.1</v>
      </c>
      <c r="D3" s="31"/>
      <c r="E3" s="31"/>
      <c r="F3" s="31"/>
      <c r="G3" s="32" t="s">
        <v>652</v>
      </c>
    </row>
    <row r="4" spans="1:10" ht="13">
      <c r="B4" s="649" t="str">
        <f>+'PRES GENERAL MR'!B18</f>
        <v>Apertura de hueco para poste o templete en B.T</v>
      </c>
      <c r="C4" s="655"/>
      <c r="D4" s="655"/>
      <c r="E4" s="656"/>
      <c r="G4" s="33" t="str">
        <f>+'PRES GENERAL MR'!C18</f>
        <v>UN</v>
      </c>
    </row>
    <row r="5" spans="1:10" ht="13">
      <c r="B5" s="34"/>
      <c r="G5" s="35"/>
    </row>
    <row r="6" spans="1:10" ht="13">
      <c r="B6" s="36" t="s">
        <v>653</v>
      </c>
    </row>
    <row r="7" spans="1:10" ht="13">
      <c r="A7" s="88" t="s">
        <v>138</v>
      </c>
      <c r="B7" s="37" t="s">
        <v>19</v>
      </c>
      <c r="C7" s="38" t="s">
        <v>284</v>
      </c>
      <c r="D7" s="38" t="s">
        <v>48</v>
      </c>
      <c r="E7" s="38" t="s">
        <v>410</v>
      </c>
      <c r="F7" s="38" t="s">
        <v>285</v>
      </c>
      <c r="G7" s="38" t="s">
        <v>286</v>
      </c>
    </row>
    <row r="8" spans="1:10" ht="14.5">
      <c r="A8" s="89"/>
      <c r="B8" s="69"/>
      <c r="C8" s="40"/>
      <c r="D8" s="40"/>
      <c r="E8" s="40"/>
      <c r="F8" s="42"/>
      <c r="G8" s="42">
        <f>D8*F8</f>
        <v>0</v>
      </c>
    </row>
    <row r="9" spans="1:10" ht="14.5">
      <c r="A9" s="89"/>
      <c r="B9" s="69"/>
      <c r="C9" s="40"/>
      <c r="D9" s="40"/>
      <c r="E9" s="40"/>
      <c r="F9" s="42"/>
      <c r="G9" s="42">
        <f t="shared" ref="G9" si="0">D9*F9</f>
        <v>0</v>
      </c>
    </row>
    <row r="10" spans="1:10" ht="14.5">
      <c r="A10" s="89"/>
      <c r="B10" s="69"/>
      <c r="C10" s="40"/>
      <c r="D10" s="40"/>
      <c r="E10" s="40"/>
      <c r="F10" s="42"/>
      <c r="G10" s="42">
        <f>D10*F10</f>
        <v>0</v>
      </c>
    </row>
    <row r="11" spans="1:10" ht="13">
      <c r="D11" s="47"/>
      <c r="E11" s="47"/>
      <c r="F11" s="48" t="s">
        <v>654</v>
      </c>
      <c r="G11" s="49">
        <f>SUM(G8:G10)</f>
        <v>0</v>
      </c>
    </row>
    <row r="12" spans="1:10">
      <c r="G12" s="73"/>
    </row>
    <row r="13" spans="1:10" ht="13">
      <c r="B13" s="50" t="s">
        <v>655</v>
      </c>
      <c r="G13" s="74"/>
    </row>
    <row r="14" spans="1:10" ht="13">
      <c r="A14" s="88" t="s">
        <v>138</v>
      </c>
      <c r="B14" s="37" t="s">
        <v>19</v>
      </c>
      <c r="C14" s="38" t="s">
        <v>665</v>
      </c>
      <c r="D14" s="38" t="s">
        <v>656</v>
      </c>
      <c r="E14" s="38"/>
      <c r="F14" s="38" t="s">
        <v>21</v>
      </c>
      <c r="G14" s="38" t="s">
        <v>286</v>
      </c>
    </row>
    <row r="15" spans="1:10" ht="14.5">
      <c r="A15" s="89">
        <v>1</v>
      </c>
      <c r="B15" s="43" t="str">
        <f>VLOOKUP(A15,Equipoyherramienta[],2,FALSE)</f>
        <v>Herramienta menor</v>
      </c>
      <c r="C15" s="44" t="str">
        <f>VLOOKUP(A15,Equipoyherramienta[],3,FALSE)</f>
        <v>UN</v>
      </c>
      <c r="D15" s="51">
        <f>VLOOKUP(A15,Equipoyherramienta[],4,FALSE)</f>
        <v>0</v>
      </c>
      <c r="E15" s="51"/>
      <c r="F15" s="71">
        <f>+RENDIMIENTOS!C51/L19</f>
        <v>15.032344093685509</v>
      </c>
      <c r="G15" s="51">
        <f>ROUND(D15/F15,0)</f>
        <v>0</v>
      </c>
    </row>
    <row r="16" spans="1:10" ht="14.5">
      <c r="A16" s="89">
        <v>5</v>
      </c>
      <c r="B16" s="43" t="str">
        <f>VLOOKUP(A16,Equipoyherramienta[],2,FALSE)</f>
        <v>Herramienta para hoyar</v>
      </c>
      <c r="C16" s="44" t="str">
        <f>VLOOKUP(A16,Equipoyherramienta[],3,FALSE)</f>
        <v>HORA</v>
      </c>
      <c r="D16" s="51">
        <f>VLOOKUP(A16,Equipoyherramienta[],4,FALSE)</f>
        <v>0</v>
      </c>
      <c r="E16" s="51"/>
      <c r="F16" s="71">
        <f>F15</f>
        <v>15.032344093685509</v>
      </c>
      <c r="G16" s="51">
        <f>ROUND(D16/F16,0)</f>
        <v>0</v>
      </c>
      <c r="J16" s="29" t="s">
        <v>704</v>
      </c>
    </row>
    <row r="17" spans="1:12" ht="13">
      <c r="B17" s="43"/>
      <c r="C17" s="44"/>
      <c r="D17" s="46"/>
      <c r="E17" s="46"/>
      <c r="F17" s="52"/>
      <c r="G17" s="53"/>
      <c r="J17" s="158" t="s">
        <v>395</v>
      </c>
      <c r="K17" s="157"/>
      <c r="L17" s="157"/>
    </row>
    <row r="18" spans="1:12" ht="15">
      <c r="D18" s="47"/>
      <c r="E18" s="47"/>
      <c r="F18" s="48" t="s">
        <v>654</v>
      </c>
      <c r="G18" s="49">
        <f>SUM(G15:G17)</f>
        <v>0</v>
      </c>
      <c r="J18" s="160" t="s">
        <v>396</v>
      </c>
      <c r="K18" s="160" t="s">
        <v>397</v>
      </c>
      <c r="L18" s="160" t="s">
        <v>398</v>
      </c>
    </row>
    <row r="19" spans="1:12" ht="13">
      <c r="D19" s="47"/>
      <c r="E19" s="47"/>
      <c r="F19" s="47"/>
      <c r="G19" s="54"/>
      <c r="J19" s="159">
        <v>0.55000000000000004</v>
      </c>
      <c r="K19" s="161">
        <v>1.4</v>
      </c>
      <c r="L19" s="161">
        <f>PI()*(J19/2)^2*K19</f>
        <v>0.33261612219881936</v>
      </c>
    </row>
    <row r="20" spans="1:12" ht="13">
      <c r="B20" s="36" t="s">
        <v>657</v>
      </c>
      <c r="G20" s="55"/>
    </row>
    <row r="21" spans="1:12" ht="13">
      <c r="A21" s="88" t="s">
        <v>138</v>
      </c>
      <c r="B21" s="37" t="s">
        <v>19</v>
      </c>
      <c r="C21" s="38" t="s">
        <v>284</v>
      </c>
      <c r="D21" s="38" t="s">
        <v>410</v>
      </c>
      <c r="E21" s="38"/>
      <c r="F21" s="38" t="s">
        <v>666</v>
      </c>
      <c r="G21" s="56" t="s">
        <v>286</v>
      </c>
    </row>
    <row r="22" spans="1:12" ht="50">
      <c r="A22" s="89">
        <v>6</v>
      </c>
      <c r="B22" s="57" t="str">
        <f>VLOOKUP(A22,Transp.[],2,FALSE)</f>
        <v>Carga terrestre desde Barranquilla hasta Usuario, incluye cargues, descargues, cruces de río, transporte semoviente, transporte en vehículo de carga pesada y cualquier otro tranposte.</v>
      </c>
      <c r="C22" s="40" t="s">
        <v>667</v>
      </c>
      <c r="D22" s="41">
        <f>SUM(E8:E10)</f>
        <v>0</v>
      </c>
      <c r="E22" s="41"/>
      <c r="F22" s="59">
        <f>VLOOKUP(A22,Transp.[],6,FALSE)</f>
        <v>0</v>
      </c>
      <c r="G22" s="59">
        <f>D22*F22</f>
        <v>0</v>
      </c>
    </row>
    <row r="23" spans="1:12" ht="13.15" customHeight="1">
      <c r="A23" s="89"/>
      <c r="B23" s="57"/>
      <c r="C23" s="40"/>
      <c r="D23" s="41"/>
      <c r="E23" s="41"/>
      <c r="F23" s="59"/>
      <c r="G23" s="59"/>
    </row>
    <row r="24" spans="1:12" ht="13.15" customHeight="1">
      <c r="A24" s="89"/>
      <c r="B24" s="57"/>
      <c r="C24" s="40"/>
      <c r="D24" s="41"/>
      <c r="E24" s="41"/>
      <c r="F24" s="59"/>
      <c r="G24" s="59"/>
    </row>
    <row r="25" spans="1:12" ht="13">
      <c r="D25" s="47"/>
      <c r="E25" s="47"/>
      <c r="F25" s="61" t="s">
        <v>654</v>
      </c>
      <c r="G25" s="49">
        <f>SUM(G22:G24)</f>
        <v>0</v>
      </c>
    </row>
    <row r="27" spans="1:12" ht="13">
      <c r="B27" s="36" t="s">
        <v>661</v>
      </c>
      <c r="D27" s="62"/>
      <c r="E27" s="62"/>
      <c r="F27" s="63"/>
      <c r="G27" s="55"/>
    </row>
    <row r="28" spans="1:12" s="47" customFormat="1" ht="13">
      <c r="A28" s="88" t="s">
        <v>138</v>
      </c>
      <c r="B28" s="38" t="s">
        <v>19</v>
      </c>
      <c r="C28" s="38" t="s">
        <v>662</v>
      </c>
      <c r="D28" s="38" t="s">
        <v>663</v>
      </c>
      <c r="E28" s="38"/>
      <c r="F28" s="38" t="s">
        <v>21</v>
      </c>
      <c r="G28" s="56" t="s">
        <v>286</v>
      </c>
    </row>
    <row r="29" spans="1:12" ht="14.5">
      <c r="A29" s="89">
        <v>4</v>
      </c>
      <c r="B29" s="64" t="str">
        <f>VLOOKUP(A29,ManoObra[],2,FALSE)</f>
        <v>Oficial de obra</v>
      </c>
      <c r="C29" s="65">
        <f>VLOOKUP(A29,ManoObra[],8,FALSE)</f>
        <v>0</v>
      </c>
      <c r="D29" s="52">
        <f>+FP!E27</f>
        <v>0</v>
      </c>
      <c r="E29" s="52"/>
      <c r="F29" s="71">
        <f>F15</f>
        <v>15.032344093685509</v>
      </c>
      <c r="G29" s="51">
        <f>ROUND(C29*D29/F29,0)</f>
        <v>0</v>
      </c>
    </row>
    <row r="30" spans="1:12" ht="14.5">
      <c r="A30" s="89">
        <v>2</v>
      </c>
      <c r="B30" s="64" t="str">
        <f>VLOOKUP(A30,ManoObra[],2,FALSE)</f>
        <v>Ayudante</v>
      </c>
      <c r="C30" s="65">
        <f>VLOOKUP(A30,ManoObra[],8,FALSE)</f>
        <v>0</v>
      </c>
      <c r="D30" s="52">
        <f>+FP!E27</f>
        <v>0</v>
      </c>
      <c r="E30" s="52"/>
      <c r="F30" s="71">
        <f>F15</f>
        <v>15.032344093685509</v>
      </c>
      <c r="G30" s="51">
        <f>ROUND(C30*D30/F30,0)</f>
        <v>0</v>
      </c>
    </row>
    <row r="31" spans="1:12" ht="14.5">
      <c r="A31" s="89"/>
      <c r="B31" s="70"/>
      <c r="C31" s="65"/>
      <c r="D31" s="52"/>
      <c r="E31" s="52"/>
      <c r="F31" s="45"/>
      <c r="G31" s="51"/>
    </row>
    <row r="32" spans="1:12" ht="13">
      <c r="D32" s="47"/>
      <c r="E32" s="47"/>
      <c r="F32" s="61" t="s">
        <v>654</v>
      </c>
      <c r="G32" s="75">
        <f>SUM(G29:G31)</f>
        <v>0</v>
      </c>
    </row>
    <row r="33" spans="2:7" ht="13">
      <c r="D33" s="47"/>
      <c r="E33" s="47"/>
      <c r="G33" s="55"/>
    </row>
    <row r="34" spans="2:7" ht="12.75" customHeight="1">
      <c r="B34" s="47"/>
      <c r="D34" s="652" t="s">
        <v>664</v>
      </c>
      <c r="E34" s="654"/>
      <c r="F34" s="653"/>
      <c r="G34" s="66">
        <f>G11+G18+G25+G32</f>
        <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8F07-4D1F-4346-A935-8626D48E16E5}">
  <sheetPr>
    <tabColor theme="4" tint="0.59999389629810485"/>
    <pageSetUpPr fitToPage="1"/>
  </sheetPr>
  <dimension ref="A1:P39"/>
  <sheetViews>
    <sheetView showGridLines="0" view="pageBreakPreview" zoomScale="80" zoomScaleNormal="120" zoomScaleSheetLayoutView="80" workbookViewId="0">
      <selection activeCell="A3" sqref="A3:A41"/>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0" width="11.453125" style="29"/>
    <col min="11" max="11" width="18.54296875" style="29" customWidth="1"/>
    <col min="12" max="16384" width="11.453125" style="29"/>
  </cols>
  <sheetData>
    <row r="1" spans="1:16"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16" ht="12.75" customHeight="1">
      <c r="B3" s="30" t="s">
        <v>651</v>
      </c>
      <c r="C3" s="182" t="str">
        <f>+'PRES GENERAL MR'!A19</f>
        <v>4.2</v>
      </c>
      <c r="D3" s="31"/>
      <c r="E3" s="31"/>
      <c r="F3" s="31"/>
      <c r="G3" s="32" t="s">
        <v>652</v>
      </c>
    </row>
    <row r="4" spans="1:16" ht="13">
      <c r="B4" s="649" t="str">
        <f>+'PRES GENERAL MR'!B19</f>
        <v>Suministro, instalación y transporte de poste en Fibra de de vidrío de 8m 510kgf</v>
      </c>
      <c r="C4" s="655"/>
      <c r="D4" s="655"/>
      <c r="E4" s="656"/>
      <c r="G4" s="33" t="str">
        <f>+'PRES GENERAL MR'!C19</f>
        <v>UN</v>
      </c>
    </row>
    <row r="5" spans="1:16" ht="13">
      <c r="B5" s="34"/>
      <c r="G5" s="35"/>
    </row>
    <row r="6" spans="1:16" ht="13">
      <c r="B6" s="36" t="s">
        <v>653</v>
      </c>
    </row>
    <row r="7" spans="1:16" ht="13">
      <c r="A7" s="88" t="s">
        <v>138</v>
      </c>
      <c r="B7" s="37" t="s">
        <v>19</v>
      </c>
      <c r="C7" s="38" t="s">
        <v>284</v>
      </c>
      <c r="D7" s="38" t="s">
        <v>48</v>
      </c>
      <c r="E7" s="38" t="s">
        <v>410</v>
      </c>
      <c r="F7" s="38" t="s">
        <v>285</v>
      </c>
      <c r="G7" s="38" t="s">
        <v>286</v>
      </c>
    </row>
    <row r="8" spans="1:16" ht="14.5">
      <c r="A8" s="89">
        <v>456</v>
      </c>
      <c r="B8" s="69" t="str">
        <f>VLOOKUP(A8,Materiales3[],3,FALSE)</f>
        <v>Postes Fibra de Vidrio 8 Metros X 510 Kgf Monolitico</v>
      </c>
      <c r="C8" s="40" t="str">
        <f>VLOOKUP(A8,Materiales3[],4,FALSE)</f>
        <v>UN</v>
      </c>
      <c r="D8" s="40">
        <v>1</v>
      </c>
      <c r="E8" s="194">
        <f>VLOOKUP(A8,Materiales3[],5,FALSE)*D8</f>
        <v>50</v>
      </c>
      <c r="F8" s="42">
        <f>VLOOKUP(A8,Materiales3[],6,FALSE)</f>
        <v>0</v>
      </c>
      <c r="G8" s="42">
        <f>D8*F8</f>
        <v>0</v>
      </c>
    </row>
    <row r="9" spans="1:16" ht="25">
      <c r="A9" s="89">
        <v>91</v>
      </c>
      <c r="B9" s="69" t="str">
        <f>VLOOKUP(A9,Materiales3[],3,FALSE)</f>
        <v>Agregado fino para concreto (tamaño máximo 4,75mm - arena natural o trituración de roca, gravas, y/o escorias)</v>
      </c>
      <c r="C9" s="40" t="str">
        <f>VLOOKUP(A9,Materiales3[],4,FALSE)</f>
        <v>m3</v>
      </c>
      <c r="D9" s="192">
        <f>+L11*$P$19</f>
        <v>0.14464018240833554</v>
      </c>
      <c r="E9" s="194">
        <f>VLOOKUP(A9,Materiales3[],5,FALSE)*D9</f>
        <v>231.42429185333685</v>
      </c>
      <c r="F9" s="42">
        <f>VLOOKUP(A9,Materiales3[],6,FALSE)</f>
        <v>0</v>
      </c>
      <c r="G9" s="42">
        <f t="shared" ref="G9:G13" si="0">D9*F9</f>
        <v>0</v>
      </c>
      <c r="K9" s="660" t="s">
        <v>407</v>
      </c>
      <c r="L9" s="661"/>
      <c r="N9" s="29" t="s">
        <v>704</v>
      </c>
    </row>
    <row r="10" spans="1:16" ht="25">
      <c r="A10" s="89">
        <v>90</v>
      </c>
      <c r="B10" s="69" t="str">
        <f>VLOOKUP(A10,Materiales3[],3,FALSE)</f>
        <v>Agregado grueso (grava, grava triturada y/o roca triturada)</v>
      </c>
      <c r="C10" s="40" t="str">
        <f>VLOOKUP(A10,Materiales3[],4,FALSE)</f>
        <v>m3</v>
      </c>
      <c r="D10" s="192">
        <f>+L12*$P$19</f>
        <v>0.21696027361250328</v>
      </c>
      <c r="E10" s="194">
        <f>VLOOKUP(A10,Materiales3[],5,FALSE)*D10</f>
        <v>347.13643778000522</v>
      </c>
      <c r="F10" s="42">
        <f>VLOOKUP(A10,Materiales3[],6,FALSE)</f>
        <v>0</v>
      </c>
      <c r="G10" s="42">
        <f t="shared" si="0"/>
        <v>0</v>
      </c>
      <c r="K10" s="187" t="s">
        <v>400</v>
      </c>
      <c r="L10" s="188">
        <v>350</v>
      </c>
      <c r="N10" s="158" t="s">
        <v>395</v>
      </c>
      <c r="O10" s="157"/>
      <c r="P10" s="157"/>
    </row>
    <row r="11" spans="1:16" ht="15">
      <c r="A11" s="89">
        <v>89</v>
      </c>
      <c r="B11" s="69" t="str">
        <f>VLOOKUP(A11,Materiales3[],3,FALSE)</f>
        <v>Agua</v>
      </c>
      <c r="C11" s="40" t="str">
        <f>VLOOKUP(A11,Materiales3[],4,FALSE)</f>
        <v>L</v>
      </c>
      <c r="D11" s="192">
        <f>+L13*$P$19</f>
        <v>64.571510003721215</v>
      </c>
      <c r="E11" s="194">
        <f>VLOOKUP(A11,Materiales3[],5,FALSE)*D11</f>
        <v>64.571510003721215</v>
      </c>
      <c r="F11" s="42">
        <f>VLOOKUP(A11,Materiales3[],6,FALSE)</f>
        <v>0</v>
      </c>
      <c r="G11" s="42">
        <f t="shared" si="0"/>
        <v>0</v>
      </c>
      <c r="K11" s="187" t="s">
        <v>402</v>
      </c>
      <c r="L11" s="188">
        <v>0.56000000000000005</v>
      </c>
      <c r="N11" s="160" t="s">
        <v>396</v>
      </c>
      <c r="O11" s="160" t="s">
        <v>397</v>
      </c>
      <c r="P11" s="160" t="s">
        <v>398</v>
      </c>
    </row>
    <row r="12" spans="1:16" ht="14.5">
      <c r="A12" s="89">
        <v>92</v>
      </c>
      <c r="B12" s="69" t="str">
        <f>VLOOKUP(A12,Materiales3[],3,FALSE)</f>
        <v>Cemento hidráulico tipo ART</v>
      </c>
      <c r="C12" s="40" t="str">
        <f>VLOOKUP(A12,Materiales3[],4,FALSE)</f>
        <v>kg</v>
      </c>
      <c r="D12" s="192">
        <f>+L10*$P$19</f>
        <v>90.400114005209701</v>
      </c>
      <c r="E12" s="194">
        <f>VLOOKUP(A12,Materiales3[],5,FALSE)*D12</f>
        <v>90.400114005209701</v>
      </c>
      <c r="F12" s="42">
        <f>VLOOKUP(A12,Materiales3[],6,FALSE)</f>
        <v>0</v>
      </c>
      <c r="G12" s="42">
        <f t="shared" si="0"/>
        <v>0</v>
      </c>
      <c r="K12" s="187" t="s">
        <v>403</v>
      </c>
      <c r="L12" s="188">
        <v>0.84</v>
      </c>
      <c r="N12" s="159">
        <v>0.55000000000000004</v>
      </c>
      <c r="O12" s="161">
        <v>1.4</v>
      </c>
      <c r="P12" s="161">
        <f>PI()*(N12/2)^2*O12</f>
        <v>0.33261612219881936</v>
      </c>
    </row>
    <row r="13" spans="1:16" ht="14.5">
      <c r="A13" s="89"/>
      <c r="B13" s="69" t="s">
        <v>669</v>
      </c>
      <c r="C13" s="40"/>
      <c r="D13" s="40">
        <v>0.05</v>
      </c>
      <c r="E13" s="194">
        <f>+(E9+E10+E11+E12)*D13</f>
        <v>36.676617682113651</v>
      </c>
      <c r="F13" s="42">
        <f>+(G9+G10+G11+G12)</f>
        <v>0</v>
      </c>
      <c r="G13" s="42">
        <f t="shared" si="0"/>
        <v>0</v>
      </c>
      <c r="K13" s="189" t="s">
        <v>404</v>
      </c>
      <c r="L13" s="190">
        <v>250</v>
      </c>
    </row>
    <row r="14" spans="1:16" ht="14.5">
      <c r="A14" s="89"/>
      <c r="B14" s="69"/>
      <c r="C14" s="40"/>
      <c r="D14" s="40"/>
      <c r="E14" s="40"/>
      <c r="F14" s="42"/>
      <c r="G14" s="42">
        <f>D14*F14</f>
        <v>0</v>
      </c>
      <c r="N14" s="29" t="s">
        <v>705</v>
      </c>
    </row>
    <row r="15" spans="1:16" ht="15">
      <c r="D15" s="47"/>
      <c r="E15" s="47"/>
      <c r="F15" s="48" t="s">
        <v>654</v>
      </c>
      <c r="G15" s="49">
        <f>SUM(G8:G14)</f>
        <v>0</v>
      </c>
      <c r="N15" s="160" t="s">
        <v>396</v>
      </c>
      <c r="O15" s="160" t="s">
        <v>397</v>
      </c>
      <c r="P15" s="160" t="s">
        <v>398</v>
      </c>
    </row>
    <row r="16" spans="1:16" ht="13">
      <c r="G16" s="73"/>
      <c r="N16" s="159">
        <v>0.26</v>
      </c>
      <c r="O16" s="161">
        <v>1.4</v>
      </c>
      <c r="P16" s="161">
        <f>PI()*(N16/2)^2*O16</f>
        <v>7.4330082183934512E-2</v>
      </c>
    </row>
    <row r="17" spans="1:16" ht="13">
      <c r="B17" s="50" t="s">
        <v>655</v>
      </c>
      <c r="G17" s="74"/>
    </row>
    <row r="18" spans="1:16" ht="13">
      <c r="A18" s="88" t="s">
        <v>138</v>
      </c>
      <c r="B18" s="37" t="s">
        <v>19</v>
      </c>
      <c r="C18" s="38" t="s">
        <v>665</v>
      </c>
      <c r="D18" s="38" t="s">
        <v>656</v>
      </c>
      <c r="E18" s="38"/>
      <c r="F18" s="38" t="s">
        <v>21</v>
      </c>
      <c r="G18" s="38" t="s">
        <v>286</v>
      </c>
    </row>
    <row r="19" spans="1:16" ht="14.5">
      <c r="A19" s="89">
        <v>1</v>
      </c>
      <c r="B19" s="43" t="str">
        <f>VLOOKUP(A19,Equipoyherramienta[],2,FALSE)</f>
        <v>Herramienta menor</v>
      </c>
      <c r="C19" s="44" t="str">
        <f>VLOOKUP(A19,Equipoyherramienta[],3,FALSE)</f>
        <v>UN</v>
      </c>
      <c r="D19" s="51">
        <f>VLOOKUP(A19,Equipoyherramienta[],4,FALSE)</f>
        <v>0</v>
      </c>
      <c r="E19" s="51"/>
      <c r="F19" s="71">
        <v>3</v>
      </c>
      <c r="G19" s="51">
        <f>ROUND(D19/F19,0)</f>
        <v>0</v>
      </c>
      <c r="N19" s="29" t="s">
        <v>706</v>
      </c>
      <c r="P19" s="29">
        <f>+P12-P16</f>
        <v>0.25828604001488487</v>
      </c>
    </row>
    <row r="20" spans="1:16" ht="14.5">
      <c r="A20" s="89"/>
      <c r="B20" s="43"/>
      <c r="C20" s="44"/>
      <c r="D20" s="51"/>
      <c r="E20" s="51"/>
      <c r="F20" s="71"/>
      <c r="G20" s="51"/>
    </row>
    <row r="21" spans="1:16">
      <c r="B21" s="43"/>
      <c r="C21" s="44"/>
      <c r="D21" s="46"/>
      <c r="E21" s="46"/>
      <c r="F21" s="52"/>
      <c r="G21" s="53"/>
    </row>
    <row r="22" spans="1:16" ht="13">
      <c r="D22" s="47"/>
      <c r="E22" s="47"/>
      <c r="F22" s="48" t="s">
        <v>654</v>
      </c>
      <c r="G22" s="49">
        <f>SUM(G19:G21)</f>
        <v>0</v>
      </c>
    </row>
    <row r="23" spans="1:16" ht="13">
      <c r="D23" s="47"/>
      <c r="E23" s="47"/>
      <c r="F23" s="47"/>
      <c r="G23" s="54"/>
    </row>
    <row r="24" spans="1:16" ht="13">
      <c r="B24" s="36" t="s">
        <v>657</v>
      </c>
      <c r="G24" s="55"/>
    </row>
    <row r="25" spans="1:16" ht="13">
      <c r="A25" s="88" t="s">
        <v>138</v>
      </c>
      <c r="B25" s="37" t="s">
        <v>19</v>
      </c>
      <c r="C25" s="38" t="s">
        <v>284</v>
      </c>
      <c r="D25" s="38" t="s">
        <v>410</v>
      </c>
      <c r="E25" s="38"/>
      <c r="F25" s="38" t="s">
        <v>666</v>
      </c>
      <c r="G25" s="56" t="s">
        <v>286</v>
      </c>
    </row>
    <row r="26" spans="1:16" ht="50">
      <c r="A26" s="89">
        <v>6</v>
      </c>
      <c r="B26" s="57" t="str">
        <f>VLOOKUP(A26,Transp.[],2,FALSE)</f>
        <v>Carga terrestre desde Barranquilla hasta Usuario, incluye cargues, descargues, cruces de río, transporte semoviente, transporte en vehículo de carga pesada y cualquier otro tranposte.</v>
      </c>
      <c r="C26" s="40" t="s">
        <v>667</v>
      </c>
      <c r="D26" s="41">
        <f>+E8+E12*1.05</f>
        <v>144.9201197054702</v>
      </c>
      <c r="E26" s="41"/>
      <c r="F26" s="59">
        <f>VLOOKUP(A26,Transp.[],6,FALSE)</f>
        <v>0</v>
      </c>
      <c r="G26" s="59">
        <f>D26*F26</f>
        <v>0</v>
      </c>
    </row>
    <row r="27" spans="1:16" ht="14.5">
      <c r="A27" s="89">
        <v>7</v>
      </c>
      <c r="B27" s="57" t="str">
        <f>VLOOKUP(A27,Transp.[],2,FALSE)</f>
        <v xml:space="preserve">Carga Material Cantera hasta Veredas </v>
      </c>
      <c r="C27" s="40" t="s">
        <v>667</v>
      </c>
      <c r="D27" s="41">
        <f>+(E9+E10)*1.05</f>
        <v>607.4887661150093</v>
      </c>
      <c r="E27" s="41"/>
      <c r="F27" s="59">
        <f>VLOOKUP(A27,Transp.[],6,FALSE)</f>
        <v>0</v>
      </c>
      <c r="G27" s="59">
        <f>D27*F27</f>
        <v>0</v>
      </c>
    </row>
    <row r="28" spans="1:16" ht="13.15" customHeight="1">
      <c r="A28" s="89"/>
      <c r="B28" s="57"/>
      <c r="C28" s="40"/>
      <c r="D28" s="41"/>
      <c r="E28" s="41"/>
      <c r="F28" s="59"/>
      <c r="G28" s="59"/>
    </row>
    <row r="29" spans="1:16" ht="13.15" customHeight="1">
      <c r="D29" s="47"/>
      <c r="E29" s="47"/>
      <c r="F29" s="61" t="s">
        <v>654</v>
      </c>
      <c r="G29" s="49">
        <f>SUM(G26:G28)</f>
        <v>0</v>
      </c>
    </row>
    <row r="31" spans="1:16" ht="13">
      <c r="B31" s="36" t="s">
        <v>661</v>
      </c>
      <c r="D31" s="62"/>
      <c r="E31" s="62"/>
      <c r="F31" s="63"/>
      <c r="G31" s="55"/>
    </row>
    <row r="32" spans="1:16" ht="13">
      <c r="A32" s="88" t="s">
        <v>138</v>
      </c>
      <c r="B32" s="38" t="s">
        <v>19</v>
      </c>
      <c r="C32" s="38" t="s">
        <v>662</v>
      </c>
      <c r="D32" s="38" t="s">
        <v>663</v>
      </c>
      <c r="E32" s="38"/>
      <c r="F32" s="38" t="s">
        <v>21</v>
      </c>
      <c r="G32" s="56" t="s">
        <v>286</v>
      </c>
      <c r="H32" s="47"/>
    </row>
    <row r="33" spans="1:8" s="47" customFormat="1" ht="14.5">
      <c r="A33" s="89">
        <v>1</v>
      </c>
      <c r="B33" s="64" t="str">
        <f>VLOOKUP(A33,ManoObra[],2,FALSE)</f>
        <v>Electricista</v>
      </c>
      <c r="C33" s="65">
        <f>VLOOKUP(A33,ManoObra[],8,FALSE)</f>
        <v>0</v>
      </c>
      <c r="D33" s="52">
        <f>+FP!E27</f>
        <v>0</v>
      </c>
      <c r="E33" s="52"/>
      <c r="F33" s="71">
        <f>F19</f>
        <v>3</v>
      </c>
      <c r="G33" s="51">
        <f>ROUND(C33*D33/F33,0)</f>
        <v>0</v>
      </c>
      <c r="H33" s="29"/>
    </row>
    <row r="34" spans="1:8" ht="14.5">
      <c r="A34" s="89">
        <v>2</v>
      </c>
      <c r="B34" s="64" t="str">
        <f>VLOOKUP(A34,ManoObra[],2,FALSE)</f>
        <v>Ayudante</v>
      </c>
      <c r="C34" s="65">
        <f>VLOOKUP(A34,ManoObra[],8,FALSE)</f>
        <v>0</v>
      </c>
      <c r="D34" s="52">
        <f>+FP!E27</f>
        <v>0</v>
      </c>
      <c r="E34" s="52"/>
      <c r="F34" s="71">
        <f>F19</f>
        <v>3</v>
      </c>
      <c r="G34" s="51">
        <f>ROUND(C34*D34/F34,0)</f>
        <v>0</v>
      </c>
    </row>
    <row r="35" spans="1:8" ht="14.5">
      <c r="A35" s="89"/>
      <c r="B35" s="70"/>
      <c r="C35" s="65"/>
      <c r="D35" s="52"/>
      <c r="E35" s="52"/>
      <c r="F35" s="45"/>
      <c r="G35" s="51"/>
    </row>
    <row r="36" spans="1:8" ht="13">
      <c r="D36" s="47"/>
      <c r="E36" s="47"/>
      <c r="F36" s="61" t="s">
        <v>654</v>
      </c>
      <c r="G36" s="75">
        <f>SUM(G33:G35)</f>
        <v>0</v>
      </c>
    </row>
    <row r="37" spans="1:8" ht="13">
      <c r="D37" s="47"/>
      <c r="E37" s="47"/>
      <c r="G37" s="55"/>
    </row>
    <row r="38" spans="1:8" ht="13">
      <c r="B38" s="47"/>
      <c r="D38" s="652" t="s">
        <v>664</v>
      </c>
      <c r="E38" s="654"/>
      <c r="F38" s="653"/>
      <c r="G38" s="66">
        <f>G15+G22+G29+G36</f>
        <v>0</v>
      </c>
    </row>
    <row r="39" spans="1:8" ht="12.75" customHeight="1"/>
  </sheetData>
  <mergeCells count="4">
    <mergeCell ref="B1:G1"/>
    <mergeCell ref="B4:E4"/>
    <mergeCell ref="D38:F38"/>
    <mergeCell ref="K9:L9"/>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CF6F3-594C-4E63-B851-AACD4DCE377E}">
  <sheetPr>
    <tabColor theme="4" tint="0.59999389629810485"/>
    <pageSetUpPr fitToPage="1"/>
  </sheetPr>
  <dimension ref="A1:H40"/>
  <sheetViews>
    <sheetView showGridLines="0" view="pageBreakPreview" zoomScale="80" zoomScaleNormal="120" zoomScaleSheetLayoutView="80" workbookViewId="0">
      <selection activeCell="A4" sqref="A4:A40"/>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MR'!A20</f>
        <v>4.3</v>
      </c>
      <c r="D3" s="31"/>
      <c r="E3" s="31"/>
      <c r="F3" s="31"/>
      <c r="G3" s="32" t="s">
        <v>652</v>
      </c>
    </row>
    <row r="4" spans="1:7" ht="13">
      <c r="B4" s="649" t="str">
        <f>+'PRES GENERAL MR'!B20</f>
        <v>Suministro, instalación y transporte de estructura para red trenzada LA320</v>
      </c>
      <c r="C4" s="655"/>
      <c r="D4" s="655"/>
      <c r="E4" s="656"/>
      <c r="G4" s="33" t="str">
        <f>+'PRES GENERAL MR'!C20</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9.899999999999999" customHeight="1">
      <c r="A8" s="89">
        <v>275</v>
      </c>
      <c r="B8" s="69" t="str">
        <f>VLOOKUP(A8,Materiales3[],3,FALSE)</f>
        <v>Arandela presión 5/8"</v>
      </c>
      <c r="C8" s="40" t="str">
        <f>VLOOKUP(A8,Materiales3[],4,FALSE)</f>
        <v>UN</v>
      </c>
      <c r="D8" s="40">
        <v>2</v>
      </c>
      <c r="E8" s="194">
        <f>VLOOKUP(A8,Materiales3[],5,FALSE)*D8</f>
        <v>0</v>
      </c>
      <c r="F8" s="42">
        <f>VLOOKUP(A8,Materiales3[],6,FALSE)</f>
        <v>0</v>
      </c>
      <c r="G8" s="42">
        <f>D8*F8</f>
        <v>0</v>
      </c>
    </row>
    <row r="9" spans="1:7" ht="14.5">
      <c r="A9" s="89">
        <v>276</v>
      </c>
      <c r="B9" s="69" t="str">
        <f>VLOOKUP(A9,Materiales3[],3,FALSE)</f>
        <v>Arandela presión 1/2"</v>
      </c>
      <c r="C9" s="40" t="str">
        <f>VLOOKUP(A9,Materiales3[],4,FALSE)</f>
        <v>UN</v>
      </c>
      <c r="D9" s="40">
        <v>2</v>
      </c>
      <c r="E9" s="194">
        <f>VLOOKUP(A9,Materiales3[],5,FALSE)*D9</f>
        <v>0</v>
      </c>
      <c r="F9" s="42">
        <f>VLOOKUP(A9,Materiales3[],6,FALSE)</f>
        <v>0</v>
      </c>
      <c r="G9" s="42">
        <f t="shared" ref="G9:G12" si="0">D9*F9</f>
        <v>0</v>
      </c>
    </row>
    <row r="10" spans="1:7" ht="25">
      <c r="A10" s="89">
        <v>384</v>
      </c>
      <c r="B10" s="69" t="str">
        <f>VLOOKUP(A10,Materiales3[],3,FALSE)</f>
        <v>ARANDELA GUASA DE 1/2" GALVANIZADA EN CALIENTE</v>
      </c>
      <c r="C10" s="40" t="str">
        <f>VLOOKUP(A10,Materiales3[],4,FALSE)</f>
        <v>UN</v>
      </c>
      <c r="D10" s="40">
        <v>2</v>
      </c>
      <c r="E10" s="194">
        <f>VLOOKUP(A10,Materiales3[],5,FALSE)*D10</f>
        <v>0.02</v>
      </c>
      <c r="F10" s="42">
        <f>VLOOKUP(A10,Materiales3[],6,FALSE)</f>
        <v>0</v>
      </c>
      <c r="G10" s="42">
        <f t="shared" si="0"/>
        <v>0</v>
      </c>
    </row>
    <row r="11" spans="1:7" ht="23.5" customHeight="1">
      <c r="A11" s="89">
        <v>385</v>
      </c>
      <c r="B11" s="69" t="str">
        <f>VLOOKUP(A11,Materiales3[],3,FALSE)</f>
        <v>ARANDELA GUASA DE 5/8" GALVANIZADA EN CALIENTE</v>
      </c>
      <c r="C11" s="40" t="str">
        <f>VLOOKUP(A11,Materiales3[],4,FALSE)</f>
        <v>UN</v>
      </c>
      <c r="D11" s="40">
        <v>2</v>
      </c>
      <c r="E11" s="194">
        <f>VLOOKUP(A11,Materiales3[],5,FALSE)*D11</f>
        <v>0.02</v>
      </c>
      <c r="F11" s="42">
        <f>VLOOKUP(A11,Materiales3[],6,FALSE)</f>
        <v>0</v>
      </c>
      <c r="G11" s="42">
        <f t="shared" si="0"/>
        <v>0</v>
      </c>
    </row>
    <row r="12" spans="1:7" ht="20.5" customHeight="1">
      <c r="A12" s="89">
        <v>386</v>
      </c>
      <c r="B12" s="69" t="str">
        <f>VLOOKUP(A12,Materiales3[],3,FALSE)</f>
        <v>COLLARIN DOS SALIDAS (7" - 8")</v>
      </c>
      <c r="C12" s="40" t="str">
        <f>VLOOKUP(A12,Materiales3[],4,FALSE)</f>
        <v>UN</v>
      </c>
      <c r="D12" s="40">
        <v>1</v>
      </c>
      <c r="E12" s="194">
        <f>VLOOKUP(A12,Materiales3[],5,FALSE)*D12</f>
        <v>2</v>
      </c>
      <c r="F12" s="42">
        <f>VLOOKUP(A12,Materiales3[],6,FALSE)</f>
        <v>0</v>
      </c>
      <c r="G12" s="42">
        <f t="shared" si="0"/>
        <v>0</v>
      </c>
    </row>
    <row r="13" spans="1:7" ht="14.5">
      <c r="A13" s="89">
        <v>387</v>
      </c>
      <c r="B13" s="69" t="str">
        <f>VLOOKUP(A13,Materiales3[],3,FALSE)</f>
        <v xml:space="preserve">GRAPA DE SUSPENSIÓN RED TRENZADA </v>
      </c>
      <c r="C13" s="40" t="str">
        <f>VLOOKUP(A13,Materiales3[],4,FALSE)</f>
        <v>UN</v>
      </c>
      <c r="D13" s="40">
        <v>1</v>
      </c>
      <c r="E13" s="194">
        <f>VLOOKUP(A13,Materiales3[],5,FALSE)*D13</f>
        <v>0.5</v>
      </c>
      <c r="F13" s="42">
        <f>VLOOKUP(A13,Materiales3[],6,FALSE)</f>
        <v>0</v>
      </c>
      <c r="G13" s="42">
        <f t="shared" ref="G13:G15" si="1">D13*F13</f>
        <v>0</v>
      </c>
    </row>
    <row r="14" spans="1:7" ht="31.15" customHeight="1">
      <c r="A14" s="89">
        <v>463</v>
      </c>
      <c r="B14" s="69" t="str">
        <f>VLOOKUP(A14,Materiales3[],3,FALSE)</f>
        <v>CONECTOR DE TORNILLO CON CHAQUETA AISLANTE TIPO 2.</v>
      </c>
      <c r="C14" s="40" t="str">
        <f>VLOOKUP(A14,Materiales3[],4,FALSE)</f>
        <v>UN</v>
      </c>
      <c r="D14" s="40">
        <v>4</v>
      </c>
      <c r="E14" s="194">
        <f>VLOOKUP(A14,Materiales3[],5,FALSE)*D14</f>
        <v>0.4</v>
      </c>
      <c r="F14" s="42">
        <f>VLOOKUP(A14,Materiales3[],6,FALSE)</f>
        <v>0</v>
      </c>
      <c r="G14" s="42">
        <f t="shared" ref="G14" si="2">D14*F14</f>
        <v>0</v>
      </c>
    </row>
    <row r="15" spans="1:7" ht="14.5">
      <c r="A15" s="89">
        <v>388</v>
      </c>
      <c r="B15" s="69" t="str">
        <f>VLOOKUP(A15,Materiales3[],3,FALSE)</f>
        <v xml:space="preserve">PERNO DE OJO ABIERTO DE 5/8 X 10 </v>
      </c>
      <c r="C15" s="40" t="str">
        <f>VLOOKUP(A15,Materiales3[],4,FALSE)</f>
        <v>UN</v>
      </c>
      <c r="D15" s="40">
        <v>1</v>
      </c>
      <c r="E15" s="194">
        <f>VLOOKUP(A15,Materiales3[],5,FALSE)*D15</f>
        <v>0.5</v>
      </c>
      <c r="F15" s="42">
        <f>VLOOKUP(A15,Materiales3[],6,FALSE)</f>
        <v>0</v>
      </c>
      <c r="G15" s="42">
        <f t="shared" si="1"/>
        <v>0</v>
      </c>
    </row>
    <row r="16" spans="1:7" ht="13">
      <c r="D16" s="47"/>
      <c r="E16" s="47"/>
      <c r="F16" s="48" t="s">
        <v>654</v>
      </c>
      <c r="G16" s="49">
        <f>SUM(G8:G15)</f>
        <v>0</v>
      </c>
    </row>
    <row r="17" spans="1:7">
      <c r="G17" s="73"/>
    </row>
    <row r="18" spans="1:7" ht="13">
      <c r="B18" s="50" t="s">
        <v>655</v>
      </c>
      <c r="G18" s="74"/>
    </row>
    <row r="19" spans="1:7" ht="13">
      <c r="A19" s="88" t="s">
        <v>138</v>
      </c>
      <c r="B19" s="37" t="s">
        <v>19</v>
      </c>
      <c r="C19" s="38" t="s">
        <v>665</v>
      </c>
      <c r="D19" s="38" t="s">
        <v>656</v>
      </c>
      <c r="E19" s="38"/>
      <c r="F19" s="38" t="s">
        <v>21</v>
      </c>
      <c r="G19" s="38" t="s">
        <v>286</v>
      </c>
    </row>
    <row r="20" spans="1:7" ht="14.5">
      <c r="A20" s="89">
        <v>1</v>
      </c>
      <c r="B20" s="43" t="str">
        <f>VLOOKUP(A20,Equipoyherramienta[],2,FALSE)</f>
        <v>Herramienta menor</v>
      </c>
      <c r="C20" s="44" t="str">
        <f>VLOOKUP(A20,Equipoyherramienta[],3,FALSE)</f>
        <v>UN</v>
      </c>
      <c r="D20" s="51">
        <f>VLOOKUP(A20,Equipoyherramienta[],4,FALSE)</f>
        <v>0</v>
      </c>
      <c r="E20" s="51"/>
      <c r="F20" s="71">
        <v>4</v>
      </c>
      <c r="G20" s="51">
        <f>ROUND(D20/F20,0)</f>
        <v>0</v>
      </c>
    </row>
    <row r="21" spans="1:7" ht="14.5">
      <c r="A21" s="89"/>
      <c r="B21" s="43"/>
      <c r="C21" s="44"/>
      <c r="D21" s="51"/>
      <c r="E21" s="51"/>
      <c r="F21" s="71"/>
      <c r="G21" s="51"/>
    </row>
    <row r="22" spans="1:7">
      <c r="B22" s="43"/>
      <c r="C22" s="44"/>
      <c r="D22" s="46"/>
      <c r="E22" s="46"/>
      <c r="F22" s="52"/>
      <c r="G22" s="53"/>
    </row>
    <row r="23" spans="1:7" ht="13">
      <c r="D23" s="47"/>
      <c r="E23" s="47"/>
      <c r="F23" s="48" t="s">
        <v>654</v>
      </c>
      <c r="G23" s="49">
        <f>SUM(G20:G22)</f>
        <v>0</v>
      </c>
    </row>
    <row r="24" spans="1:7" ht="13">
      <c r="D24" s="47"/>
      <c r="E24" s="47"/>
      <c r="F24" s="47"/>
      <c r="G24" s="54"/>
    </row>
    <row r="25" spans="1:7" ht="13">
      <c r="B25" s="36" t="s">
        <v>657</v>
      </c>
      <c r="G25" s="55"/>
    </row>
    <row r="26" spans="1:7" ht="13">
      <c r="A26" s="88" t="s">
        <v>138</v>
      </c>
      <c r="B26" s="37" t="s">
        <v>19</v>
      </c>
      <c r="C26" s="38" t="s">
        <v>284</v>
      </c>
      <c r="D26" s="38" t="s">
        <v>410</v>
      </c>
      <c r="E26" s="38"/>
      <c r="F26" s="38" t="s">
        <v>666</v>
      </c>
      <c r="G26" s="56" t="s">
        <v>286</v>
      </c>
    </row>
    <row r="27" spans="1:7" ht="50">
      <c r="A27" s="89">
        <v>6</v>
      </c>
      <c r="B27" s="57" t="str">
        <f>VLOOKUP(A27,Transp.[],2,FALSE)</f>
        <v>Carga terrestre desde Barranquilla hasta Usuario, incluye cargues, descargues, cruces de río, transporte semoviente, transporte en vehículo de carga pesada y cualquier otro tranposte.</v>
      </c>
      <c r="C27" s="40" t="s">
        <v>667</v>
      </c>
      <c r="D27" s="41">
        <f>SUM(E8:E15)</f>
        <v>3.44</v>
      </c>
      <c r="E27" s="41"/>
      <c r="F27" s="59">
        <f>VLOOKUP(A27,Transp.[],6,FALSE)</f>
        <v>0</v>
      </c>
      <c r="G27" s="59">
        <f>D27*F27</f>
        <v>0</v>
      </c>
    </row>
    <row r="28" spans="1:7" ht="14.5">
      <c r="A28" s="89"/>
      <c r="B28" s="57"/>
      <c r="C28" s="40"/>
      <c r="D28" s="41"/>
      <c r="E28" s="41"/>
      <c r="F28" s="59"/>
      <c r="G28" s="59"/>
    </row>
    <row r="29" spans="1:7" ht="13.15" customHeight="1">
      <c r="A29" s="89"/>
      <c r="B29" s="57"/>
      <c r="C29" s="40"/>
      <c r="D29" s="41"/>
      <c r="E29" s="41"/>
      <c r="F29" s="59"/>
      <c r="G29" s="59"/>
    </row>
    <row r="30" spans="1:7" ht="13.15" customHeight="1">
      <c r="D30" s="47"/>
      <c r="E30" s="47"/>
      <c r="F30" s="61" t="s">
        <v>654</v>
      </c>
      <c r="G30" s="49">
        <f>SUM(G27:G29)</f>
        <v>0</v>
      </c>
    </row>
    <row r="32" spans="1:7" ht="13">
      <c r="B32" s="36" t="s">
        <v>661</v>
      </c>
      <c r="D32" s="62"/>
      <c r="E32" s="62"/>
      <c r="F32" s="63"/>
      <c r="G32" s="55"/>
    </row>
    <row r="33" spans="1:8" ht="13">
      <c r="A33" s="88" t="s">
        <v>138</v>
      </c>
      <c r="B33" s="38" t="s">
        <v>19</v>
      </c>
      <c r="C33" s="38" t="s">
        <v>662</v>
      </c>
      <c r="D33" s="38" t="s">
        <v>663</v>
      </c>
      <c r="E33" s="38"/>
      <c r="F33" s="38" t="s">
        <v>21</v>
      </c>
      <c r="G33" s="56" t="s">
        <v>286</v>
      </c>
      <c r="H33" s="47"/>
    </row>
    <row r="34" spans="1:8" s="47" customFormat="1" ht="14.5">
      <c r="A34" s="89">
        <v>1</v>
      </c>
      <c r="B34" s="64" t="str">
        <f>VLOOKUP(A34,ManoObra[],2,FALSE)</f>
        <v>Electricista</v>
      </c>
      <c r="C34" s="65">
        <f>VLOOKUP(A34,ManoObra[],8,FALSE)</f>
        <v>0</v>
      </c>
      <c r="D34" s="52">
        <f>+FP!E27</f>
        <v>0</v>
      </c>
      <c r="E34" s="52"/>
      <c r="F34" s="71">
        <f>F20</f>
        <v>4</v>
      </c>
      <c r="G34" s="51">
        <f>ROUND(C34*D34/F34,0)</f>
        <v>0</v>
      </c>
      <c r="H34" s="29"/>
    </row>
    <row r="35" spans="1:8" ht="14.5">
      <c r="A35" s="89">
        <v>2</v>
      </c>
      <c r="B35" s="64" t="str">
        <f>VLOOKUP(A35,ManoObra[],2,FALSE)</f>
        <v>Ayudante</v>
      </c>
      <c r="C35" s="65">
        <f>VLOOKUP(A35,ManoObra[],8,FALSE)</f>
        <v>0</v>
      </c>
      <c r="D35" s="52">
        <f>+FP!E27</f>
        <v>0</v>
      </c>
      <c r="E35" s="52"/>
      <c r="F35" s="71">
        <f>F20</f>
        <v>4</v>
      </c>
      <c r="G35" s="51">
        <f>ROUND(C35*D35/F35,0)</f>
        <v>0</v>
      </c>
    </row>
    <row r="36" spans="1:8" ht="14.5">
      <c r="A36" s="89"/>
      <c r="B36" s="70"/>
      <c r="C36" s="65"/>
      <c r="D36" s="52"/>
      <c r="E36" s="52"/>
      <c r="F36" s="45"/>
      <c r="G36" s="51"/>
    </row>
    <row r="37" spans="1:8" ht="13">
      <c r="D37" s="47"/>
      <c r="E37" s="47"/>
      <c r="F37" s="61" t="s">
        <v>654</v>
      </c>
      <c r="G37" s="75">
        <f>SUM(G34:G36)</f>
        <v>0</v>
      </c>
    </row>
    <row r="38" spans="1:8" ht="13">
      <c r="D38" s="47"/>
      <c r="E38" s="47"/>
      <c r="G38" s="55"/>
    </row>
    <row r="39" spans="1:8" ht="13">
      <c r="B39" s="47"/>
      <c r="D39" s="652" t="s">
        <v>664</v>
      </c>
      <c r="E39" s="654"/>
      <c r="F39" s="653"/>
      <c r="G39" s="66">
        <f>G16+G23+G30+G37</f>
        <v>0</v>
      </c>
    </row>
    <row r="40" spans="1:8" ht="12.75" customHeight="1"/>
  </sheetData>
  <mergeCells count="3">
    <mergeCell ref="B1:G1"/>
    <mergeCell ref="B4:E4"/>
    <mergeCell ref="D39:F39"/>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1B26-82D0-416B-A713-F16177B4C5B2}">
  <sheetPr>
    <tabColor theme="4" tint="0.59999389629810485"/>
    <pageSetUpPr fitToPage="1"/>
  </sheetPr>
  <dimension ref="A1:H41"/>
  <sheetViews>
    <sheetView showGridLines="0" view="pageBreakPreview" zoomScale="80" zoomScaleNormal="120" zoomScaleSheetLayoutView="80" workbookViewId="0">
      <selection activeCell="A4" sqref="A4:A41"/>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MR'!A21</f>
        <v>4.4</v>
      </c>
      <c r="D3" s="31"/>
      <c r="E3" s="31"/>
      <c r="F3" s="31"/>
      <c r="G3" s="32" t="s">
        <v>652</v>
      </c>
    </row>
    <row r="4" spans="1:7" ht="13">
      <c r="B4" s="649" t="str">
        <f>+'PRES GENERAL MR'!B21</f>
        <v>Suministro, instalación y transporte de estructura para red trenzada LA321</v>
      </c>
      <c r="C4" s="655"/>
      <c r="D4" s="655"/>
      <c r="E4" s="656"/>
      <c r="G4" s="33" t="str">
        <f>+'PRES GENERAL MR'!C21</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9.899999999999999" customHeight="1">
      <c r="A8" s="89">
        <v>275</v>
      </c>
      <c r="B8" s="69" t="str">
        <f>VLOOKUP(A8,Materiales3[],3,FALSE)</f>
        <v>Arandela presión 5/8"</v>
      </c>
      <c r="C8" s="40" t="str">
        <f>VLOOKUP(A8,Materiales3[],4,FALSE)</f>
        <v>UN</v>
      </c>
      <c r="D8" s="40">
        <v>2</v>
      </c>
      <c r="E8" s="194">
        <f>VLOOKUP(A8,Materiales3[],5,FALSE)*D8</f>
        <v>0</v>
      </c>
      <c r="F8" s="42">
        <f>VLOOKUP(A8,Materiales3[],6,FALSE)</f>
        <v>0</v>
      </c>
      <c r="G8" s="42">
        <f>D8*F8</f>
        <v>0</v>
      </c>
    </row>
    <row r="9" spans="1:7" ht="14.5">
      <c r="A9" s="89">
        <v>276</v>
      </c>
      <c r="B9" s="69" t="str">
        <f>VLOOKUP(A9,Materiales3[],3,FALSE)</f>
        <v>Arandela presión 1/2"</v>
      </c>
      <c r="C9" s="40" t="str">
        <f>VLOOKUP(A9,Materiales3[],4,FALSE)</f>
        <v>UN</v>
      </c>
      <c r="D9" s="40">
        <v>2</v>
      </c>
      <c r="E9" s="194">
        <f>VLOOKUP(A9,Materiales3[],5,FALSE)*D9</f>
        <v>0</v>
      </c>
      <c r="F9" s="42">
        <f>VLOOKUP(A9,Materiales3[],6,FALSE)</f>
        <v>0</v>
      </c>
      <c r="G9" s="42">
        <f t="shared" ref="G9:G16" si="0">D9*F9</f>
        <v>0</v>
      </c>
    </row>
    <row r="10" spans="1:7" ht="25">
      <c r="A10" s="89">
        <v>384</v>
      </c>
      <c r="B10" s="69" t="str">
        <f>VLOOKUP(A10,Materiales3[],3,FALSE)</f>
        <v>ARANDELA GUASA DE 1/2" GALVANIZADA EN CALIENTE</v>
      </c>
      <c r="C10" s="40" t="str">
        <f>VLOOKUP(A10,Materiales3[],4,FALSE)</f>
        <v>UN</v>
      </c>
      <c r="D10" s="40">
        <v>2</v>
      </c>
      <c r="E10" s="194">
        <f>VLOOKUP(A10,Materiales3[],5,FALSE)*D10</f>
        <v>0.02</v>
      </c>
      <c r="F10" s="42">
        <f>VLOOKUP(A10,Materiales3[],6,FALSE)</f>
        <v>0</v>
      </c>
      <c r="G10" s="42">
        <f t="shared" si="0"/>
        <v>0</v>
      </c>
    </row>
    <row r="11" spans="1:7" ht="23.5" customHeight="1">
      <c r="A11" s="89">
        <v>385</v>
      </c>
      <c r="B11" s="69" t="str">
        <f>VLOOKUP(A11,Materiales3[],3,FALSE)</f>
        <v>ARANDELA GUASA DE 5/8" GALVANIZADA EN CALIENTE</v>
      </c>
      <c r="C11" s="40" t="str">
        <f>VLOOKUP(A11,Materiales3[],4,FALSE)</f>
        <v>UN</v>
      </c>
      <c r="D11" s="40">
        <v>2</v>
      </c>
      <c r="E11" s="194">
        <f>VLOOKUP(A11,Materiales3[],5,FALSE)*D11</f>
        <v>0.02</v>
      </c>
      <c r="F11" s="42">
        <f>VLOOKUP(A11,Materiales3[],6,FALSE)</f>
        <v>0</v>
      </c>
      <c r="G11" s="42">
        <f t="shared" si="0"/>
        <v>0</v>
      </c>
    </row>
    <row r="12" spans="1:7" ht="20.5" customHeight="1">
      <c r="A12" s="89">
        <v>386</v>
      </c>
      <c r="B12" s="69" t="str">
        <f>VLOOKUP(A12,Materiales3[],3,FALSE)</f>
        <v>COLLARIN DOS SALIDAS (7" - 8")</v>
      </c>
      <c r="C12" s="40" t="str">
        <f>VLOOKUP(A12,Materiales3[],4,FALSE)</f>
        <v>UN</v>
      </c>
      <c r="D12" s="40">
        <v>1</v>
      </c>
      <c r="E12" s="194">
        <f>VLOOKUP(A12,Materiales3[],5,FALSE)*D12</f>
        <v>2</v>
      </c>
      <c r="F12" s="42">
        <f>VLOOKUP(A12,Materiales3[],6,FALSE)</f>
        <v>0</v>
      </c>
      <c r="G12" s="42">
        <f t="shared" si="0"/>
        <v>0</v>
      </c>
    </row>
    <row r="13" spans="1:7" ht="14.5">
      <c r="A13" s="89">
        <v>387</v>
      </c>
      <c r="B13" s="69" t="str">
        <f>VLOOKUP(A13,Materiales3[],3,FALSE)</f>
        <v xml:space="preserve">GRAPA DE SUSPENSIÓN RED TRENZADA </v>
      </c>
      <c r="C13" s="40" t="str">
        <f>VLOOKUP(A13,Materiales3[],4,FALSE)</f>
        <v>UN</v>
      </c>
      <c r="D13" s="40">
        <v>1</v>
      </c>
      <c r="E13" s="194">
        <f>VLOOKUP(A13,Materiales3[],5,FALSE)*D13</f>
        <v>0.5</v>
      </c>
      <c r="F13" s="42">
        <f>VLOOKUP(A13,Materiales3[],6,FALSE)</f>
        <v>0</v>
      </c>
      <c r="G13" s="42">
        <f t="shared" si="0"/>
        <v>0</v>
      </c>
    </row>
    <row r="14" spans="1:7" ht="23.5" customHeight="1">
      <c r="A14" s="89">
        <v>463</v>
      </c>
      <c r="B14" s="69" t="str">
        <f>VLOOKUP(A14,Materiales3[],3,FALSE)</f>
        <v>CONECTOR DE TORNILLO CON CHAQUETA AISLANTE TIPO 2.</v>
      </c>
      <c r="C14" s="40" t="str">
        <f>VLOOKUP(A14,Materiales3[],4,FALSE)</f>
        <v>UN</v>
      </c>
      <c r="D14" s="40">
        <v>4</v>
      </c>
      <c r="E14" s="194">
        <f>VLOOKUP(A14,Materiales3[],5,FALSE)*D14</f>
        <v>0.4</v>
      </c>
      <c r="F14" s="42">
        <f>VLOOKUP(A14,Materiales3[],6,FALSE)</f>
        <v>0</v>
      </c>
      <c r="G14" s="42">
        <f t="shared" ref="G14:G15" si="1">D14*F14</f>
        <v>0</v>
      </c>
    </row>
    <row r="15" spans="1:7" ht="23.5" customHeight="1">
      <c r="A15" s="89">
        <v>464</v>
      </c>
      <c r="B15" s="69" t="str">
        <f>VLOOKUP(A15,Materiales3[],3,FALSE)</f>
        <v>CONECTOR DE TORNILLO CON CHAQUETA AISLANTE TIPO 4.</v>
      </c>
      <c r="C15" s="40" t="str">
        <f>VLOOKUP(A15,Materiales3[],4,FALSE)</f>
        <v>UN</v>
      </c>
      <c r="D15" s="40">
        <v>1</v>
      </c>
      <c r="E15" s="194">
        <f>VLOOKUP(A15,Materiales3[],5,FALSE)*D15</f>
        <v>0.1</v>
      </c>
      <c r="F15" s="42">
        <f>VLOOKUP(A15,Materiales3[],6,FALSE)</f>
        <v>0</v>
      </c>
      <c r="G15" s="42">
        <f t="shared" si="1"/>
        <v>0</v>
      </c>
    </row>
    <row r="16" spans="1:7" ht="14.5">
      <c r="A16" s="89">
        <v>388</v>
      </c>
      <c r="B16" s="69" t="str">
        <f>VLOOKUP(A16,Materiales3[],3,FALSE)</f>
        <v xml:space="preserve">PERNO DE OJO ABIERTO DE 5/8 X 10 </v>
      </c>
      <c r="C16" s="40" t="str">
        <f>VLOOKUP(A16,Materiales3[],4,FALSE)</f>
        <v>UN</v>
      </c>
      <c r="D16" s="40">
        <v>2</v>
      </c>
      <c r="E16" s="194">
        <f>VLOOKUP(A16,Materiales3[],5,FALSE)*D16</f>
        <v>1</v>
      </c>
      <c r="F16" s="42">
        <f>VLOOKUP(A16,Materiales3[],6,FALSE)</f>
        <v>0</v>
      </c>
      <c r="G16" s="42">
        <f t="shared" si="0"/>
        <v>0</v>
      </c>
    </row>
    <row r="17" spans="1:7" ht="13">
      <c r="D17" s="47"/>
      <c r="E17" s="47"/>
      <c r="F17" s="48" t="s">
        <v>654</v>
      </c>
      <c r="G17" s="49">
        <f>SUM(G8:G16)</f>
        <v>0</v>
      </c>
    </row>
    <row r="18" spans="1:7">
      <c r="G18" s="73"/>
    </row>
    <row r="19" spans="1:7" ht="13">
      <c r="B19" s="50" t="s">
        <v>655</v>
      </c>
      <c r="G19" s="74"/>
    </row>
    <row r="20" spans="1:7" ht="13">
      <c r="A20" s="88" t="s">
        <v>138</v>
      </c>
      <c r="B20" s="37" t="s">
        <v>19</v>
      </c>
      <c r="C20" s="38" t="s">
        <v>665</v>
      </c>
      <c r="D20" s="38" t="s">
        <v>656</v>
      </c>
      <c r="E20" s="38"/>
      <c r="F20" s="38" t="s">
        <v>21</v>
      </c>
      <c r="G20" s="38" t="s">
        <v>286</v>
      </c>
    </row>
    <row r="21" spans="1:7" ht="14.5">
      <c r="A21" s="89">
        <v>1</v>
      </c>
      <c r="B21" s="43" t="str">
        <f>VLOOKUP(A21,Equipoyherramienta[],2,FALSE)</f>
        <v>Herramienta menor</v>
      </c>
      <c r="C21" s="44" t="str">
        <f>VLOOKUP(A21,Equipoyherramienta[],3,FALSE)</f>
        <v>UN</v>
      </c>
      <c r="D21" s="51">
        <f>VLOOKUP(A21,Equipoyherramienta[],4,FALSE)</f>
        <v>0</v>
      </c>
      <c r="E21" s="51"/>
      <c r="F21" s="71">
        <v>4</v>
      </c>
      <c r="G21" s="51">
        <f>ROUND(D21/F21,0)</f>
        <v>0</v>
      </c>
    </row>
    <row r="22" spans="1:7" ht="14.5">
      <c r="A22" s="89"/>
      <c r="B22" s="43"/>
      <c r="C22" s="44"/>
      <c r="D22" s="51"/>
      <c r="E22" s="51"/>
      <c r="F22" s="71"/>
      <c r="G22" s="51"/>
    </row>
    <row r="23" spans="1:7">
      <c r="B23" s="43"/>
      <c r="C23" s="44"/>
      <c r="D23" s="46"/>
      <c r="E23" s="46"/>
      <c r="F23" s="52"/>
      <c r="G23" s="53"/>
    </row>
    <row r="24" spans="1:7" ht="13">
      <c r="D24" s="47"/>
      <c r="E24" s="47"/>
      <c r="F24" s="48" t="s">
        <v>654</v>
      </c>
      <c r="G24" s="49">
        <f>SUM(G21:G23)</f>
        <v>0</v>
      </c>
    </row>
    <row r="25" spans="1:7" ht="13">
      <c r="D25" s="47"/>
      <c r="E25" s="47"/>
      <c r="F25" s="47"/>
      <c r="G25" s="54"/>
    </row>
    <row r="26" spans="1:7" ht="13">
      <c r="B26" s="36" t="s">
        <v>657</v>
      </c>
      <c r="G26" s="55"/>
    </row>
    <row r="27" spans="1:7" ht="13">
      <c r="A27" s="88" t="s">
        <v>138</v>
      </c>
      <c r="B27" s="37" t="s">
        <v>19</v>
      </c>
      <c r="C27" s="38" t="s">
        <v>284</v>
      </c>
      <c r="D27" s="38" t="s">
        <v>410</v>
      </c>
      <c r="E27" s="38"/>
      <c r="F27" s="38" t="s">
        <v>666</v>
      </c>
      <c r="G27" s="56" t="s">
        <v>286</v>
      </c>
    </row>
    <row r="28" spans="1:7" ht="50">
      <c r="A28" s="89">
        <v>6</v>
      </c>
      <c r="B28" s="57" t="str">
        <f>VLOOKUP(A28,Transp.[],2,FALSE)</f>
        <v>Carga terrestre desde Barranquilla hasta Usuario, incluye cargues, descargues, cruces de río, transporte semoviente, transporte en vehículo de carga pesada y cualquier otro tranposte.</v>
      </c>
      <c r="C28" s="40" t="s">
        <v>667</v>
      </c>
      <c r="D28" s="41">
        <f>SUM(E8:E16)</f>
        <v>4.04</v>
      </c>
      <c r="E28" s="41"/>
      <c r="F28" s="59">
        <f>VLOOKUP(A28,Transp.[],6,FALSE)</f>
        <v>0</v>
      </c>
      <c r="G28" s="59">
        <f>D28*F28</f>
        <v>0</v>
      </c>
    </row>
    <row r="29" spans="1:7" ht="14.5">
      <c r="A29" s="89"/>
      <c r="B29" s="57"/>
      <c r="C29" s="40"/>
      <c r="D29" s="41"/>
      <c r="E29" s="41"/>
      <c r="F29" s="59"/>
      <c r="G29" s="59"/>
    </row>
    <row r="30" spans="1:7" ht="13.15" customHeight="1">
      <c r="A30" s="89"/>
      <c r="B30" s="57"/>
      <c r="C30" s="40"/>
      <c r="D30" s="41"/>
      <c r="E30" s="41"/>
      <c r="F30" s="59"/>
      <c r="G30" s="59"/>
    </row>
    <row r="31" spans="1:7" ht="13.15" customHeight="1">
      <c r="D31" s="47"/>
      <c r="E31" s="47"/>
      <c r="F31" s="61" t="s">
        <v>654</v>
      </c>
      <c r="G31" s="49">
        <f>SUM(G28:G30)</f>
        <v>0</v>
      </c>
    </row>
    <row r="33" spans="1:8" ht="13">
      <c r="B33" s="36" t="s">
        <v>661</v>
      </c>
      <c r="D33" s="62"/>
      <c r="E33" s="62"/>
      <c r="F33" s="63"/>
      <c r="G33" s="55"/>
    </row>
    <row r="34" spans="1:8" ht="13">
      <c r="A34" s="88" t="s">
        <v>138</v>
      </c>
      <c r="B34" s="38" t="s">
        <v>19</v>
      </c>
      <c r="C34" s="38" t="s">
        <v>662</v>
      </c>
      <c r="D34" s="38" t="s">
        <v>663</v>
      </c>
      <c r="E34" s="38"/>
      <c r="F34" s="38" t="s">
        <v>21</v>
      </c>
      <c r="G34" s="56" t="s">
        <v>286</v>
      </c>
      <c r="H34" s="47"/>
    </row>
    <row r="35" spans="1:8" s="47" customFormat="1" ht="14.5">
      <c r="A35" s="89">
        <v>1</v>
      </c>
      <c r="B35" s="64" t="str">
        <f>VLOOKUP(A35,ManoObra[],2,FALSE)</f>
        <v>Electricista</v>
      </c>
      <c r="C35" s="65">
        <f>VLOOKUP(A35,ManoObra[],8,FALSE)</f>
        <v>0</v>
      </c>
      <c r="D35" s="52">
        <f>+FP!E27</f>
        <v>0</v>
      </c>
      <c r="E35" s="52"/>
      <c r="F35" s="71">
        <f>F21</f>
        <v>4</v>
      </c>
      <c r="G35" s="51">
        <f>ROUND(C35*D35/F35,0)</f>
        <v>0</v>
      </c>
      <c r="H35" s="29"/>
    </row>
    <row r="36" spans="1:8" ht="14.5">
      <c r="A36" s="89">
        <v>2</v>
      </c>
      <c r="B36" s="64" t="str">
        <f>VLOOKUP(A36,ManoObra[],2,FALSE)</f>
        <v>Ayudante</v>
      </c>
      <c r="C36" s="65">
        <f>VLOOKUP(A36,ManoObra[],8,FALSE)</f>
        <v>0</v>
      </c>
      <c r="D36" s="52">
        <f>+FP!E27</f>
        <v>0</v>
      </c>
      <c r="E36" s="52"/>
      <c r="F36" s="71">
        <f>F21</f>
        <v>4</v>
      </c>
      <c r="G36" s="51">
        <f>ROUND(C36*D36/F36,0)</f>
        <v>0</v>
      </c>
    </row>
    <row r="37" spans="1:8" ht="14.5">
      <c r="A37" s="89"/>
      <c r="B37" s="70"/>
      <c r="C37" s="65"/>
      <c r="D37" s="52"/>
      <c r="E37" s="52"/>
      <c r="F37" s="45"/>
      <c r="G37" s="51"/>
    </row>
    <row r="38" spans="1:8" ht="13">
      <c r="D38" s="47"/>
      <c r="E38" s="47"/>
      <c r="F38" s="61" t="s">
        <v>654</v>
      </c>
      <c r="G38" s="75">
        <f>SUM(G35:G37)</f>
        <v>0</v>
      </c>
    </row>
    <row r="39" spans="1:8" ht="13">
      <c r="D39" s="47"/>
      <c r="E39" s="47"/>
      <c r="G39" s="55"/>
    </row>
    <row r="40" spans="1:8" ht="13">
      <c r="B40" s="47"/>
      <c r="D40" s="652" t="s">
        <v>664</v>
      </c>
      <c r="E40" s="654"/>
      <c r="F40" s="653"/>
      <c r="G40" s="66">
        <f>G17+G24+G31+G38</f>
        <v>0</v>
      </c>
    </row>
    <row r="41" spans="1:8" ht="12.75" customHeight="1"/>
  </sheetData>
  <mergeCells count="3">
    <mergeCell ref="B1:G1"/>
    <mergeCell ref="B4:E4"/>
    <mergeCell ref="D40:F40"/>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5CAE-FC86-449C-B978-3E505FD583EA}">
  <sheetPr>
    <tabColor theme="4" tint="0.59999389629810485"/>
    <pageSetUpPr fitToPage="1"/>
  </sheetPr>
  <dimension ref="A1:H43"/>
  <sheetViews>
    <sheetView showGridLines="0" view="pageBreakPreview" topLeftCell="A31" zoomScale="80" zoomScaleNormal="120" zoomScaleSheetLayoutView="80" workbookViewId="0">
      <selection activeCell="A4" sqref="A4:A45"/>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MR'!A22</f>
        <v>4.5</v>
      </c>
      <c r="D3" s="31"/>
      <c r="E3" s="31"/>
      <c r="F3" s="31"/>
      <c r="G3" s="32" t="s">
        <v>652</v>
      </c>
    </row>
    <row r="4" spans="1:7" ht="13">
      <c r="B4" s="649" t="str">
        <f>+'PRES GENERAL MR'!B22</f>
        <v>Suministro, instalación y transporte de estructura para red trenzada LA324</v>
      </c>
      <c r="C4" s="655"/>
      <c r="D4" s="655"/>
      <c r="E4" s="656"/>
      <c r="G4" s="33" t="str">
        <f>+'PRES GENERAL MR'!C22</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9.899999999999999" customHeight="1">
      <c r="A8" s="89">
        <v>275</v>
      </c>
      <c r="B8" s="69" t="str">
        <f>VLOOKUP(A8,Materiales3[],3,FALSE)</f>
        <v>Arandela presión 5/8"</v>
      </c>
      <c r="C8" s="40" t="str">
        <f>VLOOKUP(A8,Materiales3[],4,FALSE)</f>
        <v>UN</v>
      </c>
      <c r="D8" s="40">
        <v>4</v>
      </c>
      <c r="E8" s="194">
        <f>VLOOKUP(A8,Materiales3[],5,FALSE)*D8</f>
        <v>0</v>
      </c>
      <c r="F8" s="42">
        <f>VLOOKUP(A8,Materiales3[],6,FALSE)</f>
        <v>0</v>
      </c>
      <c r="G8" s="42">
        <f>D8*F8</f>
        <v>0</v>
      </c>
    </row>
    <row r="9" spans="1:7" ht="14.5">
      <c r="A9" s="89">
        <v>276</v>
      </c>
      <c r="B9" s="69" t="str">
        <f>VLOOKUP(A9,Materiales3[],3,FALSE)</f>
        <v>Arandela presión 1/2"</v>
      </c>
      <c r="C9" s="40" t="str">
        <f>VLOOKUP(A9,Materiales3[],4,FALSE)</f>
        <v>UN</v>
      </c>
      <c r="D9" s="40">
        <v>4</v>
      </c>
      <c r="E9" s="194">
        <f>VLOOKUP(A9,Materiales3[],5,FALSE)*D9</f>
        <v>0</v>
      </c>
      <c r="F9" s="42">
        <f>VLOOKUP(A9,Materiales3[],6,FALSE)</f>
        <v>0</v>
      </c>
      <c r="G9" s="42">
        <f t="shared" ref="G9:G18" si="0">D9*F9</f>
        <v>0</v>
      </c>
    </row>
    <row r="10" spans="1:7" ht="25">
      <c r="A10" s="89">
        <v>384</v>
      </c>
      <c r="B10" s="69" t="str">
        <f>VLOOKUP(A10,Materiales3[],3,FALSE)</f>
        <v>ARANDELA GUASA DE 1/2" GALVANIZADA EN CALIENTE</v>
      </c>
      <c r="C10" s="40" t="str">
        <f>VLOOKUP(A10,Materiales3[],4,FALSE)</f>
        <v>UN</v>
      </c>
      <c r="D10" s="40">
        <v>4</v>
      </c>
      <c r="E10" s="194">
        <f>VLOOKUP(A10,Materiales3[],5,FALSE)*D10</f>
        <v>0.04</v>
      </c>
      <c r="F10" s="42">
        <f>VLOOKUP(A10,Materiales3[],6,FALSE)</f>
        <v>0</v>
      </c>
      <c r="G10" s="42">
        <f t="shared" si="0"/>
        <v>0</v>
      </c>
    </row>
    <row r="11" spans="1:7" ht="23.5" customHeight="1">
      <c r="A11" s="89">
        <v>385</v>
      </c>
      <c r="B11" s="69" t="str">
        <f>VLOOKUP(A11,Materiales3[],3,FALSE)</f>
        <v>ARANDELA GUASA DE 5/8" GALVANIZADA EN CALIENTE</v>
      </c>
      <c r="C11" s="40" t="str">
        <f>VLOOKUP(A11,Materiales3[],4,FALSE)</f>
        <v>UN</v>
      </c>
      <c r="D11" s="40">
        <v>4</v>
      </c>
      <c r="E11" s="194">
        <f>VLOOKUP(A11,Materiales3[],5,FALSE)*D11</f>
        <v>0.04</v>
      </c>
      <c r="F11" s="42">
        <f>VLOOKUP(A11,Materiales3[],6,FALSE)</f>
        <v>0</v>
      </c>
      <c r="G11" s="42">
        <f t="shared" si="0"/>
        <v>0</v>
      </c>
    </row>
    <row r="12" spans="1:7" ht="20.5" customHeight="1">
      <c r="A12" s="89">
        <v>389</v>
      </c>
      <c r="B12" s="69" t="str">
        <f>VLOOKUP(A12,Materiales3[],3,FALSE)</f>
        <v>CAPUCHON PARA SELLAR PUNTAS DE CABLE</v>
      </c>
      <c r="C12" s="40" t="str">
        <f>VLOOKUP(A12,Materiales3[],4,FALSE)</f>
        <v>UN</v>
      </c>
      <c r="D12" s="40">
        <v>4</v>
      </c>
      <c r="E12" s="194">
        <f>VLOOKUP(A12,Materiales3[],5,FALSE)*D12</f>
        <v>2</v>
      </c>
      <c r="F12" s="42">
        <f>VLOOKUP(A12,Materiales3[],6,FALSE)</f>
        <v>0</v>
      </c>
      <c r="G12" s="42">
        <f t="shared" si="0"/>
        <v>0</v>
      </c>
    </row>
    <row r="13" spans="1:7" ht="14.5">
      <c r="A13" s="89">
        <v>386</v>
      </c>
      <c r="B13" s="69" t="str">
        <f>VLOOKUP(A13,Materiales3[],3,FALSE)</f>
        <v>COLLARIN DOS SALIDAS (7" - 8")</v>
      </c>
      <c r="C13" s="40" t="str">
        <f>VLOOKUP(A13,Materiales3[],4,FALSE)</f>
        <v>UN</v>
      </c>
      <c r="D13" s="40">
        <v>1</v>
      </c>
      <c r="E13" s="194">
        <f>VLOOKUP(A13,Materiales3[],5,FALSE)*D13</f>
        <v>2</v>
      </c>
      <c r="F13" s="42">
        <f>VLOOKUP(A13,Materiales3[],6,FALSE)</f>
        <v>0</v>
      </c>
      <c r="G13" s="42">
        <f t="shared" si="0"/>
        <v>0</v>
      </c>
    </row>
    <row r="14" spans="1:7" ht="25">
      <c r="A14" s="89">
        <v>463</v>
      </c>
      <c r="B14" s="69" t="str">
        <f>VLOOKUP(A14,Materiales3[],3,FALSE)</f>
        <v>CONECTOR DE TORNILLO CON CHAQUETA AISLANTE TIPO 2.</v>
      </c>
      <c r="C14" s="40" t="str">
        <f>VLOOKUP(A14,Materiales3[],4,FALSE)</f>
        <v>UN</v>
      </c>
      <c r="D14" s="40">
        <v>4</v>
      </c>
      <c r="E14" s="194">
        <f>VLOOKUP(A14,Materiales3[],5,FALSE)*D14</f>
        <v>0.4</v>
      </c>
      <c r="F14" s="42">
        <f>VLOOKUP(A14,Materiales3[],6,FALSE)</f>
        <v>0</v>
      </c>
      <c r="G14" s="42">
        <f t="shared" ref="G14:G17" si="1">D14*F14</f>
        <v>0</v>
      </c>
    </row>
    <row r="15" spans="1:7" ht="14.5">
      <c r="A15" s="89">
        <v>390</v>
      </c>
      <c r="B15" s="69" t="str">
        <f>VLOOKUP(A15,Materiales3[],3,FALSE)</f>
        <v xml:space="preserve">GRAPA DE RETENCIÓN RED TRENZADA </v>
      </c>
      <c r="C15" s="40" t="str">
        <f>VLOOKUP(A15,Materiales3[],4,FALSE)</f>
        <v>UN</v>
      </c>
      <c r="D15" s="40">
        <v>1</v>
      </c>
      <c r="E15" s="194">
        <f>VLOOKUP(A15,Materiales3[],5,FALSE)*D15</f>
        <v>0.5</v>
      </c>
      <c r="F15" s="42">
        <f>VLOOKUP(A15,Materiales3[],6,FALSE)</f>
        <v>0</v>
      </c>
      <c r="G15" s="42">
        <f t="shared" si="1"/>
        <v>0</v>
      </c>
    </row>
    <row r="16" spans="1:7" ht="14.5">
      <c r="A16" s="89">
        <v>387</v>
      </c>
      <c r="B16" s="69" t="str">
        <f>VLOOKUP(A16,Materiales3[],3,FALSE)</f>
        <v xml:space="preserve">GRAPA DE SUSPENSIÓN RED TRENZADA </v>
      </c>
      <c r="C16" s="40" t="str">
        <f>VLOOKUP(A16,Materiales3[],4,FALSE)</f>
        <v>UN</v>
      </c>
      <c r="D16" s="40">
        <v>1</v>
      </c>
      <c r="E16" s="194">
        <f>VLOOKUP(A16,Materiales3[],5,FALSE)*D16</f>
        <v>0.5</v>
      </c>
      <c r="F16" s="42">
        <f>VLOOKUP(A16,Materiales3[],6,FALSE)</f>
        <v>0</v>
      </c>
      <c r="G16" s="42">
        <f t="shared" si="1"/>
        <v>0</v>
      </c>
    </row>
    <row r="17" spans="1:7" ht="14.5">
      <c r="A17" s="89">
        <v>388</v>
      </c>
      <c r="B17" s="69" t="str">
        <f>VLOOKUP(A17,Materiales3[],3,FALSE)</f>
        <v xml:space="preserve">PERNO DE OJO ABIERTO DE 5/8 X 10 </v>
      </c>
      <c r="C17" s="40" t="str">
        <f>VLOOKUP(A17,Materiales3[],4,FALSE)</f>
        <v>UN</v>
      </c>
      <c r="D17" s="40">
        <v>1</v>
      </c>
      <c r="E17" s="194">
        <f>VLOOKUP(A17,Materiales3[],5,FALSE)*D17</f>
        <v>0.5</v>
      </c>
      <c r="F17" s="42">
        <f>VLOOKUP(A17,Materiales3[],6,FALSE)</f>
        <v>0</v>
      </c>
      <c r="G17" s="42">
        <f t="shared" si="1"/>
        <v>0</v>
      </c>
    </row>
    <row r="18" spans="1:7" ht="14.5">
      <c r="A18" s="89">
        <v>391</v>
      </c>
      <c r="B18" s="69" t="str">
        <f>VLOOKUP(A18,Materiales3[],3,FALSE)</f>
        <v xml:space="preserve">PERNO DE OJO CERRADO DE 5/8 X 10 </v>
      </c>
      <c r="C18" s="40" t="str">
        <f>VLOOKUP(A18,Materiales3[],4,FALSE)</f>
        <v>UN</v>
      </c>
      <c r="D18" s="40">
        <v>1</v>
      </c>
      <c r="E18" s="194">
        <f>VLOOKUP(A18,Materiales3[],5,FALSE)*D18</f>
        <v>0.5</v>
      </c>
      <c r="F18" s="42">
        <f>VLOOKUP(A18,Materiales3[],6,FALSE)</f>
        <v>0</v>
      </c>
      <c r="G18" s="42">
        <f t="shared" si="0"/>
        <v>0</v>
      </c>
    </row>
    <row r="19" spans="1:7" ht="13">
      <c r="D19" s="47"/>
      <c r="E19" s="47"/>
      <c r="F19" s="48" t="s">
        <v>654</v>
      </c>
      <c r="G19" s="49">
        <f>SUM(G8:G18)</f>
        <v>0</v>
      </c>
    </row>
    <row r="20" spans="1:7">
      <c r="G20" s="73"/>
    </row>
    <row r="21" spans="1:7" ht="13">
      <c r="B21" s="50" t="s">
        <v>655</v>
      </c>
      <c r="G21" s="74"/>
    </row>
    <row r="22" spans="1:7" ht="13">
      <c r="A22" s="88" t="s">
        <v>138</v>
      </c>
      <c r="B22" s="37" t="s">
        <v>19</v>
      </c>
      <c r="C22" s="38" t="s">
        <v>665</v>
      </c>
      <c r="D22" s="38" t="s">
        <v>656</v>
      </c>
      <c r="E22" s="38"/>
      <c r="F22" s="38" t="s">
        <v>21</v>
      </c>
      <c r="G22" s="38" t="s">
        <v>286</v>
      </c>
    </row>
    <row r="23" spans="1:7" ht="14.5">
      <c r="A23" s="89">
        <v>1</v>
      </c>
      <c r="B23" s="43" t="str">
        <f>VLOOKUP(A23,Equipoyherramienta[],2,FALSE)</f>
        <v>Herramienta menor</v>
      </c>
      <c r="C23" s="44" t="str">
        <f>VLOOKUP(A23,Equipoyherramienta[],3,FALSE)</f>
        <v>UN</v>
      </c>
      <c r="D23" s="51">
        <f>VLOOKUP(A23,Equipoyherramienta[],4,FALSE)</f>
        <v>0</v>
      </c>
      <c r="E23" s="51"/>
      <c r="F23" s="71">
        <v>3</v>
      </c>
      <c r="G23" s="51">
        <f>ROUND(D23/F23,0)</f>
        <v>0</v>
      </c>
    </row>
    <row r="24" spans="1:7" ht="14.5">
      <c r="A24" s="89"/>
      <c r="B24" s="43"/>
      <c r="C24" s="44"/>
      <c r="D24" s="51"/>
      <c r="E24" s="51"/>
      <c r="F24" s="71"/>
      <c r="G24" s="51"/>
    </row>
    <row r="25" spans="1:7">
      <c r="B25" s="43"/>
      <c r="C25" s="44"/>
      <c r="D25" s="46"/>
      <c r="E25" s="46"/>
      <c r="F25" s="52"/>
      <c r="G25" s="53"/>
    </row>
    <row r="26" spans="1:7" ht="13">
      <c r="D26" s="47"/>
      <c r="E26" s="47"/>
      <c r="F26" s="48" t="s">
        <v>654</v>
      </c>
      <c r="G26" s="49">
        <f>SUM(G23:G25)</f>
        <v>0</v>
      </c>
    </row>
    <row r="27" spans="1:7" ht="13">
      <c r="D27" s="47"/>
      <c r="E27" s="47"/>
      <c r="F27" s="47"/>
      <c r="G27" s="54"/>
    </row>
    <row r="28" spans="1:7" ht="13">
      <c r="B28" s="36" t="s">
        <v>657</v>
      </c>
      <c r="G28" s="55"/>
    </row>
    <row r="29" spans="1:7" ht="13">
      <c r="A29" s="88" t="s">
        <v>138</v>
      </c>
      <c r="B29" s="37" t="s">
        <v>19</v>
      </c>
      <c r="C29" s="38" t="s">
        <v>284</v>
      </c>
      <c r="D29" s="38" t="s">
        <v>410</v>
      </c>
      <c r="E29" s="38"/>
      <c r="F29" s="38" t="s">
        <v>666</v>
      </c>
      <c r="G29" s="56" t="s">
        <v>286</v>
      </c>
    </row>
    <row r="30" spans="1:7" ht="50">
      <c r="A30" s="89">
        <v>6</v>
      </c>
      <c r="B30" s="57" t="str">
        <f>VLOOKUP(A30,Transp.[],2,FALSE)</f>
        <v>Carga terrestre desde Barranquilla hasta Usuario, incluye cargues, descargues, cruces de río, transporte semoviente, transporte en vehículo de carga pesada y cualquier otro tranposte.</v>
      </c>
      <c r="C30" s="40" t="s">
        <v>667</v>
      </c>
      <c r="D30" s="41">
        <f>SUM(E8:E18)</f>
        <v>6.48</v>
      </c>
      <c r="E30" s="41"/>
      <c r="F30" s="59">
        <f>VLOOKUP(A30,Transp.[],6,FALSE)</f>
        <v>0</v>
      </c>
      <c r="G30" s="59">
        <f>D30*F30</f>
        <v>0</v>
      </c>
    </row>
    <row r="31" spans="1:7" ht="14.5">
      <c r="A31" s="89"/>
      <c r="B31" s="57"/>
      <c r="C31" s="40"/>
      <c r="D31" s="41"/>
      <c r="E31" s="41"/>
      <c r="F31" s="59"/>
      <c r="G31" s="59"/>
    </row>
    <row r="32" spans="1:7" ht="13.15" customHeight="1">
      <c r="A32" s="89"/>
      <c r="B32" s="57"/>
      <c r="C32" s="40"/>
      <c r="D32" s="41"/>
      <c r="E32" s="41"/>
      <c r="F32" s="59"/>
      <c r="G32" s="59"/>
    </row>
    <row r="33" spans="1:8" ht="13.15" customHeight="1">
      <c r="D33" s="47"/>
      <c r="E33" s="47"/>
      <c r="F33" s="61" t="s">
        <v>654</v>
      </c>
      <c r="G33" s="49">
        <f>SUM(G30:G32)</f>
        <v>0</v>
      </c>
    </row>
    <row r="35" spans="1:8" ht="13">
      <c r="B35" s="36" t="s">
        <v>661</v>
      </c>
      <c r="D35" s="62"/>
      <c r="E35" s="62"/>
      <c r="F35" s="63"/>
      <c r="G35" s="55"/>
    </row>
    <row r="36" spans="1:8" ht="13">
      <c r="A36" s="88" t="s">
        <v>138</v>
      </c>
      <c r="B36" s="38" t="s">
        <v>19</v>
      </c>
      <c r="C36" s="38" t="s">
        <v>662</v>
      </c>
      <c r="D36" s="38" t="s">
        <v>663</v>
      </c>
      <c r="E36" s="38"/>
      <c r="F36" s="38" t="s">
        <v>21</v>
      </c>
      <c r="G36" s="56" t="s">
        <v>286</v>
      </c>
      <c r="H36" s="47"/>
    </row>
    <row r="37" spans="1:8" s="47" customFormat="1" ht="14.5">
      <c r="A37" s="89">
        <v>1</v>
      </c>
      <c r="B37" s="64" t="str">
        <f>VLOOKUP(A37,ManoObra[],2,FALSE)</f>
        <v>Electricista</v>
      </c>
      <c r="C37" s="65">
        <f>VLOOKUP(A37,ManoObra[],8,FALSE)</f>
        <v>0</v>
      </c>
      <c r="D37" s="52">
        <f>+FP!E27</f>
        <v>0</v>
      </c>
      <c r="E37" s="52"/>
      <c r="F37" s="71">
        <f>F23</f>
        <v>3</v>
      </c>
      <c r="G37" s="51">
        <f>ROUND(C37*D37/F37,0)</f>
        <v>0</v>
      </c>
      <c r="H37" s="29"/>
    </row>
    <row r="38" spans="1:8" ht="14.5">
      <c r="A38" s="89">
        <v>2</v>
      </c>
      <c r="B38" s="64" t="str">
        <f>VLOOKUP(A38,ManoObra[],2,FALSE)</f>
        <v>Ayudante</v>
      </c>
      <c r="C38" s="65">
        <f>VLOOKUP(A38,ManoObra[],8,FALSE)</f>
        <v>0</v>
      </c>
      <c r="D38" s="52">
        <f>+FP!E27</f>
        <v>0</v>
      </c>
      <c r="E38" s="52"/>
      <c r="F38" s="71">
        <f>F23</f>
        <v>3</v>
      </c>
      <c r="G38" s="51">
        <f>ROUND(C38*D38/F38,0)</f>
        <v>0</v>
      </c>
    </row>
    <row r="39" spans="1:8" ht="14.5">
      <c r="A39" s="89"/>
      <c r="B39" s="70"/>
      <c r="C39" s="65"/>
      <c r="D39" s="52"/>
      <c r="E39" s="52"/>
      <c r="F39" s="45"/>
      <c r="G39" s="51"/>
    </row>
    <row r="40" spans="1:8" ht="13">
      <c r="D40" s="47"/>
      <c r="E40" s="47"/>
      <c r="F40" s="61" t="s">
        <v>654</v>
      </c>
      <c r="G40" s="75">
        <f>SUM(G37:G39)</f>
        <v>0</v>
      </c>
    </row>
    <row r="41" spans="1:8" ht="13">
      <c r="D41" s="47"/>
      <c r="E41" s="47"/>
      <c r="G41" s="55"/>
    </row>
    <row r="42" spans="1:8" ht="13">
      <c r="B42" s="47"/>
      <c r="D42" s="652" t="s">
        <v>664</v>
      </c>
      <c r="E42" s="654"/>
      <c r="F42" s="653"/>
      <c r="G42" s="66">
        <f>G19+G26+G33+G40</f>
        <v>0</v>
      </c>
    </row>
    <row r="43" spans="1:8" ht="12.75" customHeight="1"/>
  </sheetData>
  <mergeCells count="3">
    <mergeCell ref="B1:G1"/>
    <mergeCell ref="B4:E4"/>
    <mergeCell ref="D42:F42"/>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8D78-56AA-4662-9951-B8801CAEF790}">
  <sheetPr>
    <tabColor theme="4" tint="0.59999389629810485"/>
    <pageSetUpPr fitToPage="1"/>
  </sheetPr>
  <dimension ref="A1:H37"/>
  <sheetViews>
    <sheetView showGridLines="0" view="pageBreakPreview" zoomScale="80" zoomScaleNormal="120" zoomScaleSheetLayoutView="80" workbookViewId="0">
      <selection activeCell="A3" sqref="A3:A37"/>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MR'!A23</f>
        <v>4.6</v>
      </c>
      <c r="D3" s="31"/>
      <c r="E3" s="31"/>
      <c r="F3" s="31"/>
      <c r="G3" s="32" t="s">
        <v>652</v>
      </c>
    </row>
    <row r="4" spans="1:7" ht="13">
      <c r="B4" s="649" t="str">
        <f>+'PRES GENERAL MR'!B23</f>
        <v>Suministro, instalación y transporte de Caja para 4 acometidas en policarbonato trifásica</v>
      </c>
      <c r="C4" s="655"/>
      <c r="D4" s="655"/>
      <c r="E4" s="656"/>
      <c r="G4" s="33" t="str">
        <f>+'PRES GENERAL MR'!C23</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9.899999999999999" customHeight="1">
      <c r="A8" s="89">
        <v>327</v>
      </c>
      <c r="B8" s="69" t="str">
        <f>VLOOKUP(A8,Materiales3[],3,FALSE)</f>
        <v>Caja para acometida en policarbonato trifásica 4 usuarios</v>
      </c>
      <c r="C8" s="40" t="str">
        <f>VLOOKUP(A8,Materiales3[],4,FALSE)</f>
        <v>UN</v>
      </c>
      <c r="D8" s="40">
        <v>1</v>
      </c>
      <c r="E8" s="194">
        <f>VLOOKUP(A8,Materiales3[],5,FALSE)*D8</f>
        <v>3</v>
      </c>
      <c r="F8" s="42">
        <f>VLOOKUP(A8,Materiales3[],6,FALSE)</f>
        <v>0</v>
      </c>
      <c r="G8" s="42">
        <f>D8*F8</f>
        <v>0</v>
      </c>
    </row>
    <row r="9" spans="1:7" ht="14.5">
      <c r="A9" s="89">
        <v>309</v>
      </c>
      <c r="B9" s="69" t="str">
        <f>VLOOKUP(A9,Materiales3[],3,FALSE)</f>
        <v xml:space="preserve">Cinta bandit 5/8" </v>
      </c>
      <c r="C9" s="40" t="str">
        <f>VLOOKUP(A9,Materiales3[],4,FALSE)</f>
        <v>ml</v>
      </c>
      <c r="D9" s="40">
        <v>3</v>
      </c>
      <c r="E9" s="194">
        <f>VLOOKUP(A9,Materiales3[],5,FALSE)*D9</f>
        <v>0.15000000000000002</v>
      </c>
      <c r="F9" s="42">
        <f>VLOOKUP(A9,Materiales3[],6,FALSE)</f>
        <v>0</v>
      </c>
      <c r="G9" s="42">
        <f t="shared" ref="G9:G12" si="0">D9*F9</f>
        <v>0</v>
      </c>
    </row>
    <row r="10" spans="1:7" ht="14.5">
      <c r="A10" s="89">
        <v>310</v>
      </c>
      <c r="B10" s="69" t="str">
        <f>VLOOKUP(A10,Materiales3[],3,FALSE)</f>
        <v>Hebilla de acero inoxidable 5/8"</v>
      </c>
      <c r="C10" s="40" t="str">
        <f>VLOOKUP(A10,Materiales3[],4,FALSE)</f>
        <v>UN</v>
      </c>
      <c r="D10" s="40">
        <v>3</v>
      </c>
      <c r="E10" s="194">
        <f>VLOOKUP(A10,Materiales3[],5,FALSE)*D10</f>
        <v>0.15000000000000002</v>
      </c>
      <c r="F10" s="42">
        <f>VLOOKUP(A10,Materiales3[],6,FALSE)</f>
        <v>0</v>
      </c>
      <c r="G10" s="42">
        <f t="shared" si="0"/>
        <v>0</v>
      </c>
    </row>
    <row r="11" spans="1:7" ht="23.5" customHeight="1">
      <c r="A11" s="89">
        <v>113</v>
      </c>
      <c r="B11" s="69" t="str">
        <f>VLOOKUP(A11,Materiales3[],3,FALSE)</f>
        <v>Cable Al Multiplex Triplex 2x2 + 2 THWN</v>
      </c>
      <c r="C11" s="40" t="str">
        <f>VLOOKUP(A11,Materiales3[],4,FALSE)</f>
        <v>ML</v>
      </c>
      <c r="D11" s="40">
        <v>4</v>
      </c>
      <c r="E11" s="194">
        <f>VLOOKUP(A11,Materiales3[],5,FALSE)*D11</f>
        <v>2.56</v>
      </c>
      <c r="F11" s="42">
        <f>VLOOKUP(A11,Materiales3[],6,FALSE)</f>
        <v>0</v>
      </c>
      <c r="G11" s="42">
        <f t="shared" si="0"/>
        <v>0</v>
      </c>
    </row>
    <row r="12" spans="1:7" ht="27" customHeight="1">
      <c r="A12" s="89">
        <v>457</v>
      </c>
      <c r="B12" s="69" t="str">
        <f>VLOOKUP(A12,Materiales3[],3,FALSE)</f>
        <v>Tensor de Acometida BP Pequeño 19 mm - Maxima Fijacion y Resistencia</v>
      </c>
      <c r="C12" s="40" t="str">
        <f>VLOOKUP(A12,Materiales3[],4,FALSE)</f>
        <v>UN</v>
      </c>
      <c r="D12" s="40">
        <v>8</v>
      </c>
      <c r="E12" s="194">
        <f>VLOOKUP(A12,Materiales3[],5,FALSE)*D12</f>
        <v>0.52800000000000002</v>
      </c>
      <c r="F12" s="42">
        <f>VLOOKUP(A12,Materiales3[],6,FALSE)</f>
        <v>0</v>
      </c>
      <c r="G12" s="42">
        <f t="shared" si="0"/>
        <v>0</v>
      </c>
    </row>
    <row r="13" spans="1:7" ht="13">
      <c r="D13" s="47"/>
      <c r="E13" s="47"/>
      <c r="F13" s="48" t="s">
        <v>654</v>
      </c>
      <c r="G13" s="49">
        <f>SUM(G8:G12)</f>
        <v>0</v>
      </c>
    </row>
    <row r="14" spans="1:7">
      <c r="G14" s="73"/>
    </row>
    <row r="15" spans="1:7" ht="13">
      <c r="B15" s="50" t="s">
        <v>655</v>
      </c>
      <c r="G15" s="74"/>
    </row>
    <row r="16" spans="1:7" ht="13">
      <c r="A16" s="88" t="s">
        <v>138</v>
      </c>
      <c r="B16" s="37" t="s">
        <v>19</v>
      </c>
      <c r="C16" s="38" t="s">
        <v>665</v>
      </c>
      <c r="D16" s="38" t="s">
        <v>656</v>
      </c>
      <c r="E16" s="38"/>
      <c r="F16" s="38" t="s">
        <v>21</v>
      </c>
      <c r="G16" s="38" t="s">
        <v>286</v>
      </c>
    </row>
    <row r="17" spans="1:8" ht="14.5">
      <c r="A17" s="89">
        <v>1</v>
      </c>
      <c r="B17" s="43" t="str">
        <f>VLOOKUP(A17,Equipoyherramienta[],2,FALSE)</f>
        <v>Herramienta menor</v>
      </c>
      <c r="C17" s="44" t="str">
        <f>VLOOKUP(A17,Equipoyherramienta[],3,FALSE)</f>
        <v>UN</v>
      </c>
      <c r="D17" s="51">
        <f>VLOOKUP(A17,Equipoyherramienta[],4,FALSE)</f>
        <v>0</v>
      </c>
      <c r="E17" s="51"/>
      <c r="F17" s="71">
        <v>6</v>
      </c>
      <c r="G17" s="51">
        <f>ROUND(D17/F17,0)</f>
        <v>0</v>
      </c>
    </row>
    <row r="18" spans="1:8" ht="14.5">
      <c r="A18" s="89"/>
      <c r="B18" s="43"/>
      <c r="C18" s="44"/>
      <c r="D18" s="51"/>
      <c r="E18" s="51"/>
      <c r="F18" s="71"/>
      <c r="G18" s="51"/>
    </row>
    <row r="19" spans="1:8">
      <c r="B19" s="43"/>
      <c r="C19" s="44"/>
      <c r="D19" s="46"/>
      <c r="E19" s="46"/>
      <c r="F19" s="52"/>
      <c r="G19" s="53"/>
    </row>
    <row r="20" spans="1:8" ht="13">
      <c r="D20" s="47"/>
      <c r="E20" s="47"/>
      <c r="F20" s="48" t="s">
        <v>654</v>
      </c>
      <c r="G20" s="49">
        <f>SUM(G17:G19)</f>
        <v>0</v>
      </c>
    </row>
    <row r="21" spans="1:8" ht="13">
      <c r="D21" s="47"/>
      <c r="E21" s="47"/>
      <c r="F21" s="47"/>
      <c r="G21" s="54"/>
    </row>
    <row r="22" spans="1:8" ht="13">
      <c r="B22" s="36" t="s">
        <v>657</v>
      </c>
      <c r="G22" s="55"/>
    </row>
    <row r="23" spans="1:8" ht="13">
      <c r="A23" s="88" t="s">
        <v>138</v>
      </c>
      <c r="B23" s="37" t="s">
        <v>19</v>
      </c>
      <c r="C23" s="38" t="s">
        <v>284</v>
      </c>
      <c r="D23" s="38" t="s">
        <v>410</v>
      </c>
      <c r="E23" s="38"/>
      <c r="F23" s="38" t="s">
        <v>666</v>
      </c>
      <c r="G23" s="56" t="s">
        <v>286</v>
      </c>
    </row>
    <row r="24" spans="1:8" ht="50">
      <c r="A24" s="89">
        <v>6</v>
      </c>
      <c r="B24" s="57" t="str">
        <f>VLOOKUP(A24,Transp.[],2,FALSE)</f>
        <v>Carga terrestre desde Barranquilla hasta Usuario, incluye cargues, descargues, cruces de río, transporte semoviente, transporte en vehículo de carga pesada y cualquier otro tranposte.</v>
      </c>
      <c r="C24" s="40" t="s">
        <v>667</v>
      </c>
      <c r="D24" s="41">
        <f>SUM(E8:E12)</f>
        <v>6.3879999999999999</v>
      </c>
      <c r="E24" s="41"/>
      <c r="F24" s="59">
        <f>VLOOKUP(A24,Transp.[],6,FALSE)</f>
        <v>0</v>
      </c>
      <c r="G24" s="59">
        <f>D24*F24</f>
        <v>0</v>
      </c>
    </row>
    <row r="25" spans="1:8" ht="14.5">
      <c r="A25" s="89"/>
      <c r="B25" s="57"/>
      <c r="C25" s="40"/>
      <c r="D25" s="41"/>
      <c r="E25" s="41"/>
      <c r="F25" s="59"/>
      <c r="G25" s="59"/>
    </row>
    <row r="26" spans="1:8" ht="13.15" customHeight="1">
      <c r="A26" s="89"/>
      <c r="B26" s="57"/>
      <c r="C26" s="40"/>
      <c r="D26" s="41"/>
      <c r="E26" s="41"/>
      <c r="F26" s="59"/>
      <c r="G26" s="59"/>
    </row>
    <row r="27" spans="1:8" ht="13.15" customHeight="1">
      <c r="D27" s="47"/>
      <c r="E27" s="47"/>
      <c r="F27" s="61" t="s">
        <v>654</v>
      </c>
      <c r="G27" s="49">
        <f>SUM(G24:G26)</f>
        <v>0</v>
      </c>
    </row>
    <row r="29" spans="1:8" ht="13">
      <c r="B29" s="36" t="s">
        <v>661</v>
      </c>
      <c r="D29" s="62"/>
      <c r="E29" s="62"/>
      <c r="F29" s="63"/>
      <c r="G29" s="55"/>
    </row>
    <row r="30" spans="1:8" ht="13">
      <c r="A30" s="88" t="s">
        <v>138</v>
      </c>
      <c r="B30" s="38" t="s">
        <v>19</v>
      </c>
      <c r="C30" s="38" t="s">
        <v>662</v>
      </c>
      <c r="D30" s="38" t="s">
        <v>663</v>
      </c>
      <c r="E30" s="38"/>
      <c r="F30" s="38" t="s">
        <v>21</v>
      </c>
      <c r="G30" s="56" t="s">
        <v>286</v>
      </c>
      <c r="H30" s="47"/>
    </row>
    <row r="31" spans="1:8" s="47" customFormat="1" ht="14.5">
      <c r="A31" s="89">
        <v>1</v>
      </c>
      <c r="B31" s="64" t="str">
        <f>VLOOKUP(A31,ManoObra[],2,FALSE)</f>
        <v>Electricista</v>
      </c>
      <c r="C31" s="65">
        <f>VLOOKUP(A31,ManoObra[],8,FALSE)</f>
        <v>0</v>
      </c>
      <c r="D31" s="52">
        <f>+FP!E27</f>
        <v>0</v>
      </c>
      <c r="E31" s="52"/>
      <c r="F31" s="71">
        <f>F17</f>
        <v>6</v>
      </c>
      <c r="G31" s="51">
        <f>ROUND(C31*D31/F31,0)</f>
        <v>0</v>
      </c>
      <c r="H31" s="29"/>
    </row>
    <row r="32" spans="1:8" ht="14.5">
      <c r="A32" s="89">
        <v>2</v>
      </c>
      <c r="B32" s="64" t="str">
        <f>VLOOKUP(A32,ManoObra[],2,FALSE)</f>
        <v>Ayudante</v>
      </c>
      <c r="C32" s="65">
        <f>VLOOKUP(A32,ManoObra[],8,FALSE)</f>
        <v>0</v>
      </c>
      <c r="D32" s="52">
        <f>+FP!E27</f>
        <v>0</v>
      </c>
      <c r="E32" s="52"/>
      <c r="F32" s="71">
        <f>F17</f>
        <v>6</v>
      </c>
      <c r="G32" s="51">
        <f>ROUND(C32*D32/F32,0)</f>
        <v>0</v>
      </c>
    </row>
    <row r="33" spans="1:7" ht="14.5">
      <c r="A33" s="89"/>
      <c r="B33" s="70"/>
      <c r="C33" s="65"/>
      <c r="D33" s="52"/>
      <c r="E33" s="52"/>
      <c r="F33" s="45"/>
      <c r="G33" s="51"/>
    </row>
    <row r="34" spans="1:7" ht="13">
      <c r="D34" s="47"/>
      <c r="E34" s="47"/>
      <c r="F34" s="61" t="s">
        <v>654</v>
      </c>
      <c r="G34" s="75">
        <f>SUM(G31:G33)</f>
        <v>0</v>
      </c>
    </row>
    <row r="35" spans="1:7" ht="13">
      <c r="D35" s="47"/>
      <c r="E35" s="47"/>
      <c r="G35" s="55"/>
    </row>
    <row r="36" spans="1:7" ht="13">
      <c r="B36" s="47"/>
      <c r="D36" s="652" t="s">
        <v>664</v>
      </c>
      <c r="E36" s="654"/>
      <c r="F36" s="653"/>
      <c r="G36" s="66">
        <f>G13+G20+G27+G34</f>
        <v>0</v>
      </c>
    </row>
    <row r="37" spans="1:7" ht="12.75" customHeight="1"/>
  </sheetData>
  <mergeCells count="3">
    <mergeCell ref="B1:G1"/>
    <mergeCell ref="B4:E4"/>
    <mergeCell ref="D36:F36"/>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F5A32-67EF-4117-A0AA-41112F9E1364}">
  <sheetPr>
    <tabColor theme="4" tint="0.59999389629810485"/>
    <pageSetUpPr fitToPage="1"/>
  </sheetPr>
  <dimension ref="A1:H38"/>
  <sheetViews>
    <sheetView showGridLines="0" view="pageBreakPreview" zoomScale="80" zoomScaleNormal="120" zoomScaleSheetLayoutView="80" workbookViewId="0">
      <selection activeCell="A4" sqref="A4:A37"/>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MR'!A24</f>
        <v>4.7</v>
      </c>
      <c r="D3" s="31"/>
      <c r="E3" s="31"/>
      <c r="F3" s="31"/>
      <c r="G3" s="32" t="s">
        <v>652</v>
      </c>
    </row>
    <row r="4" spans="1:7" ht="21.65" customHeight="1">
      <c r="B4" s="649" t="str">
        <f>+'PRES GENERAL MR'!B24</f>
        <v>Suministro, instalación y transporte de estructura para red trenzada LA322</v>
      </c>
      <c r="C4" s="655"/>
      <c r="D4" s="655"/>
      <c r="E4" s="656"/>
      <c r="G4" s="33" t="str">
        <f>+'PRES GENERAL MR'!C24</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25">
      <c r="A8" s="89">
        <v>464</v>
      </c>
      <c r="B8" s="69" t="str">
        <f>VLOOKUP(A8,Materiales3[],3,FALSE)</f>
        <v>CONECTOR DE TORNILLO CON CHAQUETA AISLANTE TIPO 4.</v>
      </c>
      <c r="C8" s="40" t="str">
        <f>VLOOKUP(A8,Materiales3[],4,FALSE)</f>
        <v>UN</v>
      </c>
      <c r="D8" s="40">
        <v>4</v>
      </c>
      <c r="E8" s="194">
        <f>VLOOKUP(A8,Materiales3[],5,FALSE)*D8</f>
        <v>0.4</v>
      </c>
      <c r="F8" s="42">
        <f>VLOOKUP(A8,Materiales3[],6,FALSE)</f>
        <v>0</v>
      </c>
      <c r="G8" s="42">
        <f>D8*F8</f>
        <v>0</v>
      </c>
    </row>
    <row r="9" spans="1:7" ht="14.5">
      <c r="A9" s="89">
        <v>390</v>
      </c>
      <c r="B9" s="69" t="str">
        <f>VLOOKUP(A9,Materiales3[],3,FALSE)</f>
        <v xml:space="preserve">GRAPA DE RETENCIÓN RED TRENZADA </v>
      </c>
      <c r="C9" s="40" t="str">
        <f>VLOOKUP(A9,Materiales3[],4,FALSE)</f>
        <v>UN</v>
      </c>
      <c r="D9" s="40">
        <v>1</v>
      </c>
      <c r="E9" s="194">
        <f>VLOOKUP(A9,Materiales3[],5,FALSE)*D9</f>
        <v>0.5</v>
      </c>
      <c r="F9" s="42">
        <f>VLOOKUP(A9,Materiales3[],6,FALSE)</f>
        <v>0</v>
      </c>
      <c r="G9" s="42">
        <f t="shared" ref="G9:G13" si="0">D9*F9</f>
        <v>0</v>
      </c>
    </row>
    <row r="10" spans="1:7" ht="14.5">
      <c r="A10" s="89">
        <v>387</v>
      </c>
      <c r="B10" s="69" t="str">
        <f>VLOOKUP(A10,Materiales3[],3,FALSE)</f>
        <v xml:space="preserve">GRAPA DE SUSPENSIÓN RED TRENZADA </v>
      </c>
      <c r="C10" s="40" t="str">
        <f>VLOOKUP(A10,Materiales3[],4,FALSE)</f>
        <v>UN</v>
      </c>
      <c r="D10" s="40">
        <v>1</v>
      </c>
      <c r="E10" s="194">
        <f>VLOOKUP(A10,Materiales3[],5,FALSE)*D10</f>
        <v>0.5</v>
      </c>
      <c r="F10" s="42">
        <f>VLOOKUP(A10,Materiales3[],6,FALSE)</f>
        <v>0</v>
      </c>
      <c r="G10" s="42">
        <f t="shared" si="0"/>
        <v>0</v>
      </c>
    </row>
    <row r="11" spans="1:7" ht="14.5">
      <c r="A11" s="89">
        <v>315</v>
      </c>
      <c r="B11" s="69" t="str">
        <f>VLOOKUP(A11,Materiales3[],3,FALSE)</f>
        <v>Percha tipo pesado de 1 puestos</v>
      </c>
      <c r="C11" s="40" t="str">
        <f>VLOOKUP(A11,Materiales3[],4,FALSE)</f>
        <v>UN</v>
      </c>
      <c r="D11" s="40">
        <v>2</v>
      </c>
      <c r="E11" s="194">
        <f>VLOOKUP(A11,Materiales3[],5,FALSE)*D11</f>
        <v>2</v>
      </c>
      <c r="F11" s="42">
        <f>VLOOKUP(A11,Materiales3[],6,FALSE)</f>
        <v>0</v>
      </c>
      <c r="G11" s="42">
        <f t="shared" si="0"/>
        <v>0</v>
      </c>
    </row>
    <row r="12" spans="1:7" ht="14.5">
      <c r="A12" s="89">
        <v>391</v>
      </c>
      <c r="B12" s="69" t="str">
        <f>VLOOKUP(A12,Materiales3[],3,FALSE)</f>
        <v xml:space="preserve">PERNO DE OJO CERRADO DE 5/8 X 10 </v>
      </c>
      <c r="C12" s="40" t="str">
        <f>VLOOKUP(A12,Materiales3[],4,FALSE)</f>
        <v>UN</v>
      </c>
      <c r="D12" s="40">
        <v>1</v>
      </c>
      <c r="E12" s="194">
        <f>VLOOKUP(A12,Materiales3[],5,FALSE)*D12</f>
        <v>0.5</v>
      </c>
      <c r="F12" s="42">
        <f>VLOOKUP(A12,Materiales3[],6,FALSE)</f>
        <v>0</v>
      </c>
      <c r="G12" s="42">
        <f t="shared" ref="G12" si="1">D12*F12</f>
        <v>0</v>
      </c>
    </row>
    <row r="13" spans="1:7" ht="14.5">
      <c r="A13" s="89">
        <v>388</v>
      </c>
      <c r="B13" s="69" t="str">
        <f>VLOOKUP(A13,Materiales3[],3,FALSE)</f>
        <v xml:space="preserve">PERNO DE OJO ABIERTO DE 5/8 X 10 </v>
      </c>
      <c r="C13" s="40" t="str">
        <f>VLOOKUP(A13,Materiales3[],4,FALSE)</f>
        <v>UN</v>
      </c>
      <c r="D13" s="40">
        <v>1</v>
      </c>
      <c r="E13" s="194">
        <f>VLOOKUP(A13,Materiales3[],5,FALSE)*D13</f>
        <v>0.5</v>
      </c>
      <c r="F13" s="42">
        <f>VLOOKUP(A13,Materiales3[],6,FALSE)</f>
        <v>0</v>
      </c>
      <c r="G13" s="42">
        <f t="shared" si="0"/>
        <v>0</v>
      </c>
    </row>
    <row r="14" spans="1:7" ht="13">
      <c r="D14" s="47"/>
      <c r="E14" s="47"/>
      <c r="F14" s="48" t="s">
        <v>654</v>
      </c>
      <c r="G14" s="49">
        <f>SUM(G8:G13)</f>
        <v>0</v>
      </c>
    </row>
    <row r="15" spans="1:7">
      <c r="G15" s="73"/>
    </row>
    <row r="16" spans="1:7" ht="13">
      <c r="B16" s="50" t="s">
        <v>655</v>
      </c>
      <c r="G16" s="74"/>
    </row>
    <row r="17" spans="1:8" ht="13">
      <c r="A17" s="88" t="s">
        <v>138</v>
      </c>
      <c r="B17" s="37" t="s">
        <v>19</v>
      </c>
      <c r="C17" s="38" t="s">
        <v>665</v>
      </c>
      <c r="D17" s="38" t="s">
        <v>656</v>
      </c>
      <c r="E17" s="38"/>
      <c r="F17" s="38" t="s">
        <v>21</v>
      </c>
      <c r="G17" s="38" t="s">
        <v>286</v>
      </c>
    </row>
    <row r="18" spans="1:8" ht="14.5">
      <c r="A18" s="89">
        <v>1</v>
      </c>
      <c r="B18" s="43" t="str">
        <f>VLOOKUP(A18,Equipoyherramienta[],2,FALSE)</f>
        <v>Herramienta menor</v>
      </c>
      <c r="C18" s="44" t="str">
        <f>VLOOKUP(A18,Equipoyherramienta[],3,FALSE)</f>
        <v>UN</v>
      </c>
      <c r="D18" s="51">
        <f>VLOOKUP(A18,Equipoyherramienta[],4,FALSE)</f>
        <v>0</v>
      </c>
      <c r="E18" s="51"/>
      <c r="F18" s="71">
        <v>6</v>
      </c>
      <c r="G18" s="51">
        <f>ROUND(D18/F18,0)</f>
        <v>0</v>
      </c>
    </row>
    <row r="19" spans="1:8" ht="14.5">
      <c r="A19" s="89"/>
      <c r="B19" s="43"/>
      <c r="C19" s="44"/>
      <c r="D19" s="51"/>
      <c r="E19" s="51"/>
      <c r="F19" s="71"/>
      <c r="G19" s="51"/>
    </row>
    <row r="20" spans="1:8">
      <c r="B20" s="43"/>
      <c r="C20" s="44"/>
      <c r="D20" s="46"/>
      <c r="E20" s="46"/>
      <c r="F20" s="52"/>
      <c r="G20" s="53"/>
    </row>
    <row r="21" spans="1:8" ht="13">
      <c r="D21" s="47"/>
      <c r="E21" s="47"/>
      <c r="F21" s="48" t="s">
        <v>654</v>
      </c>
      <c r="G21" s="49">
        <f>SUM(G18:G20)</f>
        <v>0</v>
      </c>
    </row>
    <row r="22" spans="1:8" ht="13">
      <c r="D22" s="47"/>
      <c r="E22" s="47"/>
      <c r="F22" s="47"/>
      <c r="G22" s="54"/>
    </row>
    <row r="23" spans="1:8" ht="13">
      <c r="B23" s="36" t="s">
        <v>657</v>
      </c>
      <c r="G23" s="55"/>
    </row>
    <row r="24" spans="1:8" ht="13">
      <c r="A24" s="88" t="s">
        <v>138</v>
      </c>
      <c r="B24" s="37" t="s">
        <v>19</v>
      </c>
      <c r="C24" s="38" t="s">
        <v>284</v>
      </c>
      <c r="D24" s="38" t="s">
        <v>410</v>
      </c>
      <c r="E24" s="38"/>
      <c r="F24" s="38" t="s">
        <v>666</v>
      </c>
      <c r="G24" s="56" t="s">
        <v>286</v>
      </c>
    </row>
    <row r="25" spans="1:8"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SUM(E8:E13)</f>
        <v>4.4000000000000004</v>
      </c>
      <c r="E25" s="41"/>
      <c r="F25" s="59">
        <f>VLOOKUP(A25,Transp.[],6,FALSE)</f>
        <v>0</v>
      </c>
      <c r="G25" s="59">
        <f>D25*F25</f>
        <v>0</v>
      </c>
    </row>
    <row r="26" spans="1:8" ht="14.5">
      <c r="A26" s="89"/>
      <c r="B26" s="57"/>
      <c r="C26" s="40"/>
      <c r="D26" s="41"/>
      <c r="E26" s="41"/>
      <c r="F26" s="59"/>
      <c r="G26" s="59"/>
    </row>
    <row r="27" spans="1:8" ht="13.15" customHeight="1">
      <c r="A27" s="89"/>
      <c r="B27" s="57"/>
      <c r="C27" s="40"/>
      <c r="D27" s="41"/>
      <c r="E27" s="41"/>
      <c r="F27" s="59"/>
      <c r="G27" s="59"/>
    </row>
    <row r="28" spans="1:8" ht="13.15" customHeight="1">
      <c r="D28" s="47"/>
      <c r="E28" s="47"/>
      <c r="F28" s="61" t="s">
        <v>654</v>
      </c>
      <c r="G28" s="49">
        <f>SUM(G25:G27)</f>
        <v>0</v>
      </c>
    </row>
    <row r="30" spans="1:8" ht="13">
      <c r="B30" s="36" t="s">
        <v>661</v>
      </c>
      <c r="D30" s="62"/>
      <c r="E30" s="62"/>
      <c r="F30" s="63"/>
      <c r="G30" s="55"/>
    </row>
    <row r="31" spans="1:8" ht="13">
      <c r="A31" s="88" t="s">
        <v>138</v>
      </c>
      <c r="B31" s="38" t="s">
        <v>19</v>
      </c>
      <c r="C31" s="38" t="s">
        <v>662</v>
      </c>
      <c r="D31" s="38" t="s">
        <v>663</v>
      </c>
      <c r="E31" s="38"/>
      <c r="F31" s="38" t="s">
        <v>21</v>
      </c>
      <c r="G31" s="56" t="s">
        <v>286</v>
      </c>
      <c r="H31" s="47"/>
    </row>
    <row r="32" spans="1:8" s="47" customFormat="1" ht="14.5">
      <c r="A32" s="89">
        <v>1</v>
      </c>
      <c r="B32" s="64" t="str">
        <f>VLOOKUP(A32,ManoObra[],2,FALSE)</f>
        <v>Electricista</v>
      </c>
      <c r="C32" s="65">
        <f>VLOOKUP(A32,ManoObra[],8,FALSE)</f>
        <v>0</v>
      </c>
      <c r="D32" s="52">
        <f>+FP!E27</f>
        <v>0</v>
      </c>
      <c r="E32" s="52"/>
      <c r="F32" s="71">
        <f>F18</f>
        <v>6</v>
      </c>
      <c r="G32" s="51">
        <f>ROUND(C32*D32/F32,0)</f>
        <v>0</v>
      </c>
      <c r="H32" s="29"/>
    </row>
    <row r="33" spans="1:7" ht="14.5">
      <c r="A33" s="89">
        <v>2</v>
      </c>
      <c r="B33" s="64" t="str">
        <f>VLOOKUP(A33,ManoObra[],2,FALSE)</f>
        <v>Ayudante</v>
      </c>
      <c r="C33" s="65">
        <f>VLOOKUP(A33,ManoObra[],8,FALSE)</f>
        <v>0</v>
      </c>
      <c r="D33" s="52">
        <f>+FP!E27</f>
        <v>0</v>
      </c>
      <c r="E33" s="52"/>
      <c r="F33" s="71">
        <f>F18</f>
        <v>6</v>
      </c>
      <c r="G33" s="51">
        <f>ROUND(C33*D33/F33,0)</f>
        <v>0</v>
      </c>
    </row>
    <row r="34" spans="1:7" ht="14.5">
      <c r="A34" s="89"/>
      <c r="B34" s="70"/>
      <c r="C34" s="65"/>
      <c r="D34" s="52"/>
      <c r="E34" s="52"/>
      <c r="F34" s="45"/>
      <c r="G34" s="51"/>
    </row>
    <row r="35" spans="1:7" ht="13">
      <c r="D35" s="47"/>
      <c r="E35" s="47"/>
      <c r="F35" s="61" t="s">
        <v>654</v>
      </c>
      <c r="G35" s="75">
        <f>SUM(G32:G34)</f>
        <v>0</v>
      </c>
    </row>
    <row r="36" spans="1:7" ht="13">
      <c r="D36" s="47"/>
      <c r="E36" s="47"/>
      <c r="G36" s="55"/>
    </row>
    <row r="37" spans="1:7" ht="13">
      <c r="B37" s="47"/>
      <c r="D37" s="652" t="s">
        <v>664</v>
      </c>
      <c r="E37" s="654"/>
      <c r="F37" s="653"/>
      <c r="G37" s="66">
        <f>G14+G21+G28+G35</f>
        <v>0</v>
      </c>
    </row>
    <row r="38" spans="1:7" ht="12.75" customHeight="1"/>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6186-E79B-4F53-B1F7-A8CD475A82B1}">
  <sheetPr>
    <tabColor theme="4" tint="0.59999389629810485"/>
    <pageSetUpPr fitToPage="1"/>
  </sheetPr>
  <dimension ref="A1:H34"/>
  <sheetViews>
    <sheetView showGridLines="0" view="pageBreakPreview" zoomScale="80" zoomScaleNormal="120" zoomScaleSheetLayoutView="80" workbookViewId="0">
      <selection activeCell="A4" sqref="A4:A76"/>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MR'!A25</f>
        <v>4.8</v>
      </c>
      <c r="D3" s="31"/>
      <c r="E3" s="31"/>
      <c r="F3" s="31"/>
      <c r="G3" s="32" t="s">
        <v>652</v>
      </c>
    </row>
    <row r="4" spans="1:7" ht="34.9" customHeight="1">
      <c r="B4" s="649" t="str">
        <f>+'PRES GENERAL MR'!B25</f>
        <v>Suministro,transporte y tendida y tensionada red trenzada aluminio, XLPE 2x35mm2 + 1x35mm2 / 2x2AWG+ 1x2AWG</v>
      </c>
      <c r="C4" s="655"/>
      <c r="D4" s="655"/>
      <c r="E4" s="656"/>
      <c r="G4" s="33" t="str">
        <f>+'PRES GENERAL MR'!C25</f>
        <v>ML</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9.899999999999999" customHeight="1">
      <c r="A8" s="89">
        <v>113</v>
      </c>
      <c r="B8" s="69" t="str">
        <f>VLOOKUP(A8,Materiales3[],3,FALSE)</f>
        <v>Cable Al Multiplex Triplex 2x2 + 2 THWN</v>
      </c>
      <c r="C8" s="40" t="str">
        <f>VLOOKUP(A8,Materiales3[],4,FALSE)</f>
        <v>ML</v>
      </c>
      <c r="D8" s="40">
        <v>1</v>
      </c>
      <c r="E8" s="194">
        <f>VLOOKUP(A8,Materiales3[],5,FALSE)*D8</f>
        <v>0.64</v>
      </c>
      <c r="F8" s="42">
        <f>VLOOKUP(A8,Materiales3[],6,FALSE)</f>
        <v>0</v>
      </c>
      <c r="G8" s="42">
        <f>D8*F8</f>
        <v>0</v>
      </c>
    </row>
    <row r="9" spans="1:7" ht="16.149999999999999" customHeight="1">
      <c r="A9" s="89"/>
      <c r="B9" s="69"/>
      <c r="C9" s="40"/>
      <c r="D9" s="40"/>
      <c r="E9" s="194"/>
      <c r="F9" s="42"/>
      <c r="G9" s="42">
        <f t="shared" ref="G9" si="0">D9*F9</f>
        <v>0</v>
      </c>
    </row>
    <row r="10" spans="1:7" ht="13">
      <c r="D10" s="47"/>
      <c r="E10" s="47"/>
      <c r="F10" s="48" t="s">
        <v>654</v>
      </c>
      <c r="G10" s="49">
        <f>SUM(G8:G9)</f>
        <v>0</v>
      </c>
    </row>
    <row r="11" spans="1:7">
      <c r="G11" s="73"/>
    </row>
    <row r="12" spans="1:7" ht="13">
      <c r="B12" s="50" t="s">
        <v>655</v>
      </c>
      <c r="G12" s="74"/>
    </row>
    <row r="13" spans="1:7" ht="13">
      <c r="A13" s="88" t="s">
        <v>138</v>
      </c>
      <c r="B13" s="37" t="s">
        <v>19</v>
      </c>
      <c r="C13" s="38" t="s">
        <v>665</v>
      </c>
      <c r="D13" s="38" t="s">
        <v>656</v>
      </c>
      <c r="E13" s="38"/>
      <c r="F13" s="38" t="s">
        <v>21</v>
      </c>
      <c r="G13" s="38" t="s">
        <v>286</v>
      </c>
    </row>
    <row r="14" spans="1:7" ht="14.5">
      <c r="A14" s="89">
        <v>1</v>
      </c>
      <c r="B14" s="43" t="str">
        <f>VLOOKUP(A14,Equipoyherramienta[],2,FALSE)</f>
        <v>Herramienta menor</v>
      </c>
      <c r="C14" s="44" t="str">
        <f>VLOOKUP(A14,Equipoyherramienta[],3,FALSE)</f>
        <v>UN</v>
      </c>
      <c r="D14" s="51">
        <f>VLOOKUP(A14,Equipoyherramienta[],4,FALSE)</f>
        <v>0</v>
      </c>
      <c r="E14" s="51"/>
      <c r="F14" s="71">
        <v>150</v>
      </c>
      <c r="G14" s="51">
        <f>ROUND(D14/F14,0)</f>
        <v>0</v>
      </c>
    </row>
    <row r="15" spans="1:7" ht="14.5">
      <c r="A15" s="89"/>
      <c r="B15" s="43"/>
      <c r="C15" s="44"/>
      <c r="D15" s="51"/>
      <c r="E15" s="51"/>
      <c r="F15" s="71"/>
      <c r="G15" s="51"/>
    </row>
    <row r="16" spans="1:7">
      <c r="B16" s="43"/>
      <c r="C16" s="44"/>
      <c r="D16" s="46"/>
      <c r="E16" s="46"/>
      <c r="F16" s="52"/>
      <c r="G16" s="53"/>
    </row>
    <row r="17" spans="1:8" ht="13">
      <c r="D17" s="47"/>
      <c r="E17" s="47"/>
      <c r="F17" s="48" t="s">
        <v>654</v>
      </c>
      <c r="G17" s="49">
        <f>SUM(G14:G16)</f>
        <v>0</v>
      </c>
    </row>
    <row r="18" spans="1:8" ht="13">
      <c r="D18" s="47"/>
      <c r="E18" s="47"/>
      <c r="F18" s="47"/>
      <c r="G18" s="54"/>
    </row>
    <row r="19" spans="1:8" ht="13">
      <c r="B19" s="36" t="s">
        <v>657</v>
      </c>
      <c r="G19" s="55"/>
    </row>
    <row r="20" spans="1:8" ht="13">
      <c r="A20" s="88" t="s">
        <v>138</v>
      </c>
      <c r="B20" s="37" t="s">
        <v>19</v>
      </c>
      <c r="C20" s="38" t="s">
        <v>284</v>
      </c>
      <c r="D20" s="38" t="s">
        <v>410</v>
      </c>
      <c r="E20" s="38"/>
      <c r="F20" s="38" t="s">
        <v>666</v>
      </c>
      <c r="G20" s="56" t="s">
        <v>286</v>
      </c>
    </row>
    <row r="21" spans="1:8" ht="50">
      <c r="A21" s="89">
        <v>6</v>
      </c>
      <c r="B21" s="57" t="str">
        <f>VLOOKUP(A21,Transp.[],2,FALSE)</f>
        <v>Carga terrestre desde Barranquilla hasta Usuario, incluye cargues, descargues, cruces de río, transporte semoviente, transporte en vehículo de carga pesada y cualquier otro tranposte.</v>
      </c>
      <c r="C21" s="40" t="s">
        <v>667</v>
      </c>
      <c r="D21" s="41">
        <f>SUM(E8:E9)</f>
        <v>0.64</v>
      </c>
      <c r="E21" s="41"/>
      <c r="F21" s="59">
        <f>VLOOKUP(A21,Transp.[],6,FALSE)</f>
        <v>0</v>
      </c>
      <c r="G21" s="59">
        <f>D21*F21</f>
        <v>0</v>
      </c>
    </row>
    <row r="22" spans="1:8" ht="14.5">
      <c r="A22" s="89"/>
      <c r="B22" s="57"/>
      <c r="C22" s="40"/>
      <c r="D22" s="41"/>
      <c r="E22" s="41"/>
      <c r="F22" s="59"/>
      <c r="G22" s="59"/>
    </row>
    <row r="23" spans="1:8" ht="13.15" customHeight="1">
      <c r="A23" s="89"/>
      <c r="B23" s="57"/>
      <c r="C23" s="40"/>
      <c r="D23" s="41"/>
      <c r="E23" s="41"/>
      <c r="F23" s="59"/>
      <c r="G23" s="59"/>
    </row>
    <row r="24" spans="1:8" ht="13.15" customHeight="1">
      <c r="D24" s="47"/>
      <c r="E24" s="47"/>
      <c r="F24" s="61" t="s">
        <v>654</v>
      </c>
      <c r="G24" s="49">
        <f>SUM(G21:G23)</f>
        <v>0</v>
      </c>
    </row>
    <row r="26" spans="1:8" ht="13">
      <c r="B26" s="36" t="s">
        <v>661</v>
      </c>
      <c r="D26" s="62"/>
      <c r="E26" s="62"/>
      <c r="F26" s="63"/>
      <c r="G26" s="55"/>
    </row>
    <row r="27" spans="1:8" ht="13">
      <c r="A27" s="88" t="s">
        <v>138</v>
      </c>
      <c r="B27" s="38" t="s">
        <v>19</v>
      </c>
      <c r="C27" s="38" t="s">
        <v>662</v>
      </c>
      <c r="D27" s="38" t="s">
        <v>663</v>
      </c>
      <c r="E27" s="38"/>
      <c r="F27" s="38" t="s">
        <v>21</v>
      </c>
      <c r="G27" s="56" t="s">
        <v>286</v>
      </c>
      <c r="H27" s="47"/>
    </row>
    <row r="28" spans="1:8" s="47" customFormat="1" ht="14.5">
      <c r="A28" s="89">
        <v>1</v>
      </c>
      <c r="B28" s="64" t="str">
        <f>VLOOKUP(A28,ManoObra[],2,FALSE)</f>
        <v>Electricista</v>
      </c>
      <c r="C28" s="65">
        <f>VLOOKUP(A28,ManoObra[],8,FALSE)</f>
        <v>0</v>
      </c>
      <c r="D28" s="52">
        <f>+FP!E27</f>
        <v>0</v>
      </c>
      <c r="E28" s="52"/>
      <c r="F28" s="71">
        <f>F14</f>
        <v>150</v>
      </c>
      <c r="G28" s="51">
        <f>ROUND(C28*D28/F28,0)</f>
        <v>0</v>
      </c>
      <c r="H28" s="29"/>
    </row>
    <row r="29" spans="1:8" ht="14.5">
      <c r="A29" s="89">
        <v>2</v>
      </c>
      <c r="B29" s="64" t="str">
        <f>VLOOKUP(A29,ManoObra[],2,FALSE)</f>
        <v>Ayudante</v>
      </c>
      <c r="C29" s="65">
        <f>VLOOKUP(A29,ManoObra[],8,FALSE)</f>
        <v>0</v>
      </c>
      <c r="D29" s="52">
        <f>+FP!E27</f>
        <v>0</v>
      </c>
      <c r="E29" s="52"/>
      <c r="F29" s="71">
        <f>F14</f>
        <v>150</v>
      </c>
      <c r="G29" s="51">
        <f>ROUND(C29*D29/F29,0)</f>
        <v>0</v>
      </c>
    </row>
    <row r="30" spans="1:8" ht="14.5">
      <c r="A30" s="89"/>
      <c r="B30" s="70"/>
      <c r="C30" s="65"/>
      <c r="D30" s="52"/>
      <c r="E30" s="52"/>
      <c r="F30" s="45"/>
      <c r="G30" s="51"/>
    </row>
    <row r="31" spans="1:8" ht="13">
      <c r="D31" s="47"/>
      <c r="E31" s="47"/>
      <c r="F31" s="61" t="s">
        <v>654</v>
      </c>
      <c r="G31" s="75">
        <f>SUM(G28:G30)</f>
        <v>0</v>
      </c>
    </row>
    <row r="32" spans="1:8" ht="13">
      <c r="D32" s="47"/>
      <c r="E32" s="47"/>
      <c r="G32" s="55"/>
    </row>
    <row r="33" spans="2:7" ht="13">
      <c r="B33" s="47"/>
      <c r="D33" s="652" t="s">
        <v>664</v>
      </c>
      <c r="E33" s="654"/>
      <c r="F33" s="653"/>
      <c r="G33" s="66">
        <f>G10+G17+G24+G31</f>
        <v>0</v>
      </c>
    </row>
    <row r="34" spans="2:7" ht="12.75" customHeight="1"/>
  </sheetData>
  <mergeCells count="3">
    <mergeCell ref="B1:G1"/>
    <mergeCell ref="B4:E4"/>
    <mergeCell ref="D33:F33"/>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11EBC-7E10-4BC0-8D26-B91635CCBF0A}">
  <sheetPr>
    <tabColor theme="4" tint="0.59999389629810485"/>
    <pageSetUpPr fitToPage="1"/>
  </sheetPr>
  <dimension ref="A1:O195"/>
  <sheetViews>
    <sheetView view="pageBreakPreview" topLeftCell="A52" zoomScale="86" zoomScaleNormal="80" zoomScaleSheetLayoutView="86" workbookViewId="0">
      <selection activeCell="I11" sqref="I11"/>
    </sheetView>
  </sheetViews>
  <sheetFormatPr baseColWidth="10" defaultColWidth="11.453125" defaultRowHeight="12.5"/>
  <cols>
    <col min="1" max="1" width="4.26953125" style="463" customWidth="1"/>
    <col min="2" max="2" width="37.26953125" style="463" customWidth="1"/>
    <col min="3" max="3" width="12.81640625" style="463" bestFit="1" customWidth="1"/>
    <col min="4" max="5" width="11.453125" style="463"/>
    <col min="6" max="6" width="18.453125" style="463" customWidth="1"/>
    <col min="7" max="16384" width="11.453125" style="463"/>
  </cols>
  <sheetData>
    <row r="1" spans="1:10" ht="57" customHeight="1">
      <c r="A1" s="563" t="str">
        <f>+'[6]PRES GENERAL MR'!A1</f>
        <v>IMPLEMENTACIÓN DE SOLUCIONES ENERGÉTICAS SOSTENIBLES CON FUENTES NO CONVENCIONALES, PARA LAS COMUNIDADES RURALES DEL MUNICIPIO DE PLATO, DEPARTAMENTO MAGDALENA.</v>
      </c>
      <c r="B1" s="563"/>
      <c r="C1" s="563"/>
      <c r="D1" s="563"/>
      <c r="E1" s="563"/>
      <c r="F1" s="563"/>
      <c r="G1" s="563"/>
      <c r="H1" s="563"/>
      <c r="I1" s="563"/>
      <c r="J1" s="563"/>
    </row>
    <row r="2" spans="1:10" ht="13">
      <c r="A2" s="564" t="s">
        <v>393</v>
      </c>
      <c r="B2" s="564"/>
      <c r="C2" s="564"/>
      <c r="D2" s="564"/>
      <c r="E2" s="564"/>
      <c r="F2" s="564"/>
      <c r="G2" s="564"/>
      <c r="H2" s="564"/>
      <c r="I2" s="564"/>
      <c r="J2" s="564"/>
    </row>
    <row r="3" spans="1:10">
      <c r="C3" s="464"/>
      <c r="D3" s="464"/>
    </row>
    <row r="5" spans="1:10" ht="13">
      <c r="B5" s="465" t="s">
        <v>394</v>
      </c>
      <c r="C5" s="464"/>
      <c r="D5" s="464"/>
    </row>
    <row r="6" spans="1:10">
      <c r="C6" s="464"/>
      <c r="D6" s="464"/>
    </row>
    <row r="7" spans="1:10" ht="13">
      <c r="B7" s="466" t="s">
        <v>395</v>
      </c>
      <c r="C7" s="464"/>
      <c r="D7" s="464"/>
    </row>
    <row r="8" spans="1:10" ht="15">
      <c r="B8" s="467" t="s">
        <v>396</v>
      </c>
      <c r="C8" s="467" t="s">
        <v>397</v>
      </c>
      <c r="D8" s="467" t="s">
        <v>398</v>
      </c>
      <c r="E8" s="467" t="s">
        <v>7</v>
      </c>
    </row>
    <row r="9" spans="1:10" ht="13">
      <c r="B9" s="468">
        <v>0.65</v>
      </c>
      <c r="C9" s="469">
        <v>1.4</v>
      </c>
      <c r="D9" s="469">
        <f>PI()*(B9/2)^2*C9</f>
        <v>0.46456301364959063</v>
      </c>
      <c r="E9" s="469">
        <f>+ROUND(D9,2)</f>
        <v>0.46</v>
      </c>
    </row>
    <row r="10" spans="1:10" ht="13">
      <c r="C10" s="469"/>
      <c r="D10" s="469"/>
      <c r="E10" s="469"/>
    </row>
    <row r="11" spans="1:10" ht="13">
      <c r="B11" s="466" t="s">
        <v>399</v>
      </c>
      <c r="C11" s="469"/>
      <c r="D11" s="469"/>
      <c r="E11" s="469"/>
    </row>
    <row r="12" spans="1:10" ht="13">
      <c r="B12" s="468">
        <f>+B9</f>
        <v>0.65</v>
      </c>
      <c r="C12" s="469">
        <v>0</v>
      </c>
      <c r="D12" s="469">
        <f>PI()*(B12/2)^2*C12</f>
        <v>0</v>
      </c>
      <c r="E12" s="469">
        <f>+ROUND(D12,2)</f>
        <v>0</v>
      </c>
    </row>
    <row r="13" spans="1:10" ht="13">
      <c r="C13" s="469"/>
      <c r="D13" s="469"/>
      <c r="E13" s="469"/>
    </row>
    <row r="14" spans="1:10" ht="13">
      <c r="B14" s="467" t="s">
        <v>400</v>
      </c>
      <c r="C14" s="469">
        <f>$E$12*G15</f>
        <v>0</v>
      </c>
      <c r="D14" s="469"/>
      <c r="E14" s="469"/>
      <c r="F14" s="565" t="s">
        <v>401</v>
      </c>
      <c r="G14" s="566"/>
    </row>
    <row r="15" spans="1:10" ht="14">
      <c r="B15" s="467" t="s">
        <v>402</v>
      </c>
      <c r="C15" s="469">
        <f t="shared" ref="C15:C17" si="0">$E$12*G16</f>
        <v>0</v>
      </c>
      <c r="D15" s="469"/>
      <c r="E15" s="469"/>
      <c r="F15" s="470" t="s">
        <v>400</v>
      </c>
      <c r="G15" s="471">
        <v>300</v>
      </c>
    </row>
    <row r="16" spans="1:10" ht="14">
      <c r="B16" s="467" t="s">
        <v>403</v>
      </c>
      <c r="C16" s="469">
        <f t="shared" si="0"/>
        <v>0</v>
      </c>
      <c r="D16" s="469"/>
      <c r="E16" s="469"/>
      <c r="F16" s="470" t="s">
        <v>402</v>
      </c>
      <c r="G16" s="471">
        <v>0.48</v>
      </c>
    </row>
    <row r="17" spans="2:7" ht="14">
      <c r="B17" s="467" t="s">
        <v>404</v>
      </c>
      <c r="C17" s="469">
        <f t="shared" si="0"/>
        <v>0</v>
      </c>
      <c r="D17" s="469"/>
      <c r="E17" s="469"/>
      <c r="F17" s="470" t="s">
        <v>403</v>
      </c>
      <c r="G17" s="471">
        <v>0.95</v>
      </c>
    </row>
    <row r="18" spans="2:7" ht="13">
      <c r="C18" s="469"/>
      <c r="D18" s="469"/>
      <c r="E18" s="469"/>
      <c r="F18" s="472" t="s">
        <v>404</v>
      </c>
      <c r="G18" s="473">
        <v>170</v>
      </c>
    </row>
    <row r="19" spans="2:7" ht="13">
      <c r="B19" s="466" t="s">
        <v>405</v>
      </c>
      <c r="C19" s="469"/>
      <c r="D19" s="469"/>
      <c r="E19" s="469"/>
    </row>
    <row r="20" spans="2:7" ht="15">
      <c r="B20" s="467" t="s">
        <v>396</v>
      </c>
      <c r="C20" s="467" t="s">
        <v>397</v>
      </c>
      <c r="D20" s="467" t="s">
        <v>398</v>
      </c>
      <c r="E20" s="467" t="s">
        <v>7</v>
      </c>
    </row>
    <row r="21" spans="2:7" ht="13">
      <c r="B21" s="468">
        <v>0.65</v>
      </c>
      <c r="C21" s="469">
        <v>1.5</v>
      </c>
      <c r="D21" s="469">
        <f>PI()*(B21/2)^2*C21</f>
        <v>0.49774608605313286</v>
      </c>
      <c r="E21" s="469">
        <f t="shared" ref="E21:E22" si="1">+ROUND(D21,2)</f>
        <v>0.5</v>
      </c>
    </row>
    <row r="22" spans="2:7" ht="13">
      <c r="B22" s="468">
        <v>0.21</v>
      </c>
      <c r="C22" s="469">
        <v>-1.1000000000000001</v>
      </c>
      <c r="D22" s="469">
        <f>PI()*(B22/2)^2*C22</f>
        <v>-3.8099664906410216E-2</v>
      </c>
      <c r="E22" s="469">
        <f t="shared" si="1"/>
        <v>-0.04</v>
      </c>
    </row>
    <row r="23" spans="2:7" ht="13">
      <c r="C23" s="469"/>
      <c r="D23" s="474" t="s">
        <v>406</v>
      </c>
      <c r="E23" s="469">
        <f>SUM(E21:E22)</f>
        <v>0.46</v>
      </c>
    </row>
    <row r="24" spans="2:7" ht="13">
      <c r="C24" s="469"/>
      <c r="D24" s="474"/>
      <c r="E24" s="469"/>
    </row>
    <row r="25" spans="2:7" ht="13">
      <c r="B25" s="467" t="s">
        <v>400</v>
      </c>
      <c r="C25" s="469">
        <f>$E$23*G26</f>
        <v>161</v>
      </c>
      <c r="D25" s="469"/>
      <c r="E25" s="469"/>
      <c r="F25" s="565" t="s">
        <v>407</v>
      </c>
      <c r="G25" s="566"/>
    </row>
    <row r="26" spans="2:7" ht="14">
      <c r="B26" s="467" t="s">
        <v>402</v>
      </c>
      <c r="C26" s="469">
        <f t="shared" ref="C26:C28" si="2">$E$23*G27</f>
        <v>0.25760000000000005</v>
      </c>
      <c r="D26" s="469"/>
      <c r="E26" s="469"/>
      <c r="F26" s="470" t="s">
        <v>400</v>
      </c>
      <c r="G26" s="471">
        <v>350</v>
      </c>
    </row>
    <row r="27" spans="2:7" ht="14">
      <c r="B27" s="467" t="s">
        <v>403</v>
      </c>
      <c r="C27" s="469">
        <f t="shared" si="2"/>
        <v>0.38640000000000002</v>
      </c>
      <c r="D27" s="469"/>
      <c r="E27" s="469"/>
      <c r="F27" s="470" t="s">
        <v>402</v>
      </c>
      <c r="G27" s="471">
        <v>0.56000000000000005</v>
      </c>
    </row>
    <row r="28" spans="2:7" ht="14">
      <c r="B28" s="467" t="s">
        <v>404</v>
      </c>
      <c r="C28" s="469">
        <f t="shared" si="2"/>
        <v>115</v>
      </c>
      <c r="D28" s="469"/>
      <c r="E28" s="469"/>
      <c r="F28" s="470" t="s">
        <v>403</v>
      </c>
      <c r="G28" s="471">
        <v>0.84</v>
      </c>
    </row>
    <row r="29" spans="2:7" ht="13">
      <c r="C29" s="469"/>
      <c r="D29" s="469"/>
      <c r="E29" s="469"/>
      <c r="F29" s="472" t="s">
        <v>404</v>
      </c>
      <c r="G29" s="473">
        <v>250</v>
      </c>
    </row>
    <row r="30" spans="2:7">
      <c r="C30" s="464"/>
      <c r="D30" s="464"/>
    </row>
    <row r="31" spans="2:7" ht="13">
      <c r="B31" s="466" t="s">
        <v>408</v>
      </c>
      <c r="C31" s="464"/>
      <c r="D31" s="464"/>
    </row>
    <row r="32" spans="2:7" ht="13">
      <c r="C32" s="463" t="s">
        <v>409</v>
      </c>
      <c r="D32" s="467" t="s">
        <v>396</v>
      </c>
      <c r="E32" s="467" t="s">
        <v>397</v>
      </c>
      <c r="F32" s="467" t="s">
        <v>410</v>
      </c>
      <c r="G32" s="467" t="s">
        <v>7</v>
      </c>
    </row>
    <row r="33" spans="2:7" ht="13">
      <c r="B33" s="475" t="s">
        <v>411</v>
      </c>
      <c r="C33" s="469">
        <v>0.38</v>
      </c>
      <c r="D33" s="469">
        <f>ROUND(2*PI()*(C33/2)+0.2,2)</f>
        <v>1.39</v>
      </c>
      <c r="E33" s="469">
        <f>C21-0.075-0.05</f>
        <v>1.375</v>
      </c>
      <c r="F33" s="476">
        <f>29.26/2.35/6</f>
        <v>2.075177304964539</v>
      </c>
      <c r="G33" s="463">
        <f>ROUND(D33*E33*F33,2)</f>
        <v>3.97</v>
      </c>
    </row>
    <row r="34" spans="2:7" ht="13">
      <c r="B34" s="475"/>
      <c r="C34" s="469" t="s">
        <v>412</v>
      </c>
      <c r="D34" s="469">
        <f>+D33*E33</f>
        <v>1.9112499999999999</v>
      </c>
      <c r="E34" s="469"/>
      <c r="F34" s="476"/>
    </row>
    <row r="35" spans="2:7" ht="13">
      <c r="B35" s="467"/>
      <c r="C35" s="468"/>
      <c r="D35" s="468"/>
    </row>
    <row r="36" spans="2:7" ht="13">
      <c r="B36" s="466" t="s">
        <v>413</v>
      </c>
      <c r="C36" s="468"/>
      <c r="D36" s="468"/>
    </row>
    <row r="37" spans="2:7" ht="13">
      <c r="B37" s="467" t="s">
        <v>400</v>
      </c>
      <c r="C37" s="468">
        <f>+C14+C25</f>
        <v>161</v>
      </c>
      <c r="D37" s="468"/>
    </row>
    <row r="38" spans="2:7" ht="14">
      <c r="B38" s="467" t="s">
        <v>402</v>
      </c>
      <c r="C38" s="468">
        <f>+C15+C26</f>
        <v>0.25760000000000005</v>
      </c>
      <c r="D38" s="468"/>
    </row>
    <row r="39" spans="2:7" ht="14">
      <c r="B39" s="467" t="s">
        <v>403</v>
      </c>
      <c r="C39" s="468">
        <f>+C16+C27</f>
        <v>0.38640000000000002</v>
      </c>
      <c r="D39" s="468"/>
    </row>
    <row r="40" spans="2:7" ht="13">
      <c r="B40" s="467" t="s">
        <v>404</v>
      </c>
      <c r="C40" s="468">
        <f>+C17+C28</f>
        <v>115</v>
      </c>
      <c r="D40" s="468"/>
    </row>
    <row r="41" spans="2:7" ht="13">
      <c r="B41" s="467"/>
      <c r="C41" s="468"/>
      <c r="D41" s="468"/>
    </row>
    <row r="42" spans="2:7" ht="13">
      <c r="B42" s="466" t="s">
        <v>414</v>
      </c>
      <c r="C42" s="468"/>
      <c r="D42" s="468"/>
    </row>
    <row r="43" spans="2:7" ht="13">
      <c r="B43" s="467"/>
      <c r="C43" s="467" t="s">
        <v>415</v>
      </c>
      <c r="D43" s="467" t="s">
        <v>48</v>
      </c>
      <c r="E43" s="467" t="s">
        <v>410</v>
      </c>
      <c r="F43" s="467" t="s">
        <v>7</v>
      </c>
    </row>
    <row r="44" spans="2:7" ht="27.65" customHeight="1">
      <c r="B44" s="477" t="s">
        <v>416</v>
      </c>
      <c r="C44" s="463">
        <v>4</v>
      </c>
      <c r="D44" s="478">
        <v>2</v>
      </c>
      <c r="E44" s="464">
        <v>4.75</v>
      </c>
      <c r="F44" s="463">
        <f t="shared" ref="F44:F51" si="3">+C44*D44*E44</f>
        <v>38</v>
      </c>
    </row>
    <row r="45" spans="2:7" ht="25">
      <c r="B45" s="477" t="s">
        <v>417</v>
      </c>
      <c r="C45" s="463">
        <v>1.45</v>
      </c>
      <c r="D45" s="478">
        <v>2</v>
      </c>
      <c r="E45" s="464">
        <v>1.83</v>
      </c>
      <c r="F45" s="463">
        <f t="shared" si="3"/>
        <v>5.3070000000000004</v>
      </c>
    </row>
    <row r="46" spans="2:7" ht="28.15" customHeight="1">
      <c r="B46" s="477" t="s">
        <v>418</v>
      </c>
      <c r="C46" s="463">
        <v>1.45</v>
      </c>
      <c r="D46" s="478">
        <v>4</v>
      </c>
      <c r="E46" s="464">
        <v>4.6100000000000003</v>
      </c>
      <c r="F46" s="463">
        <f t="shared" si="3"/>
        <v>26.738</v>
      </c>
    </row>
    <row r="47" spans="2:7" ht="25">
      <c r="B47" s="477" t="s">
        <v>419</v>
      </c>
      <c r="C47" s="463">
        <f>0.64*2+0.28*2</f>
        <v>1.84</v>
      </c>
      <c r="D47" s="478">
        <v>2</v>
      </c>
      <c r="E47" s="464">
        <v>4.6100000000000003</v>
      </c>
      <c r="F47" s="463">
        <f t="shared" si="3"/>
        <v>16.9648</v>
      </c>
    </row>
    <row r="48" spans="2:7" ht="25">
      <c r="B48" s="477" t="s">
        <v>420</v>
      </c>
      <c r="C48" s="463">
        <f>4*0.2*0.05</f>
        <v>4.0000000000000008E-2</v>
      </c>
      <c r="D48" s="479">
        <f>0.25*0.0254</f>
        <v>6.3499999999999997E-3</v>
      </c>
      <c r="E48" s="464">
        <v>7850</v>
      </c>
      <c r="F48" s="463">
        <f t="shared" si="3"/>
        <v>1.9939000000000004</v>
      </c>
    </row>
    <row r="49" spans="1:15" ht="25">
      <c r="B49" s="477" t="s">
        <v>421</v>
      </c>
      <c r="C49" s="463">
        <f>0.3*0.3</f>
        <v>0.09</v>
      </c>
      <c r="D49" s="478">
        <v>9.5300000000000003E-3</v>
      </c>
      <c r="E49" s="464">
        <v>7850</v>
      </c>
      <c r="F49" s="463">
        <f t="shared" si="3"/>
        <v>6.732945</v>
      </c>
    </row>
    <row r="50" spans="1:15" ht="25">
      <c r="B50" s="477" t="s">
        <v>422</v>
      </c>
      <c r="C50" s="463">
        <f>8*0.0254</f>
        <v>0.20319999999999999</v>
      </c>
      <c r="D50" s="478">
        <v>2</v>
      </c>
      <c r="E50" s="464">
        <v>0.55600000000000005</v>
      </c>
      <c r="F50" s="463">
        <f t="shared" si="3"/>
        <v>0.2259584</v>
      </c>
    </row>
    <row r="51" spans="1:15" ht="25">
      <c r="B51" s="477" t="s">
        <v>423</v>
      </c>
      <c r="C51" s="463">
        <f>(1.5)*0.0254</f>
        <v>3.8099999999999995E-2</v>
      </c>
      <c r="D51" s="478">
        <v>4</v>
      </c>
      <c r="E51" s="464">
        <v>0.99399999999999999</v>
      </c>
      <c r="F51" s="463">
        <f t="shared" si="3"/>
        <v>0.15148559999999997</v>
      </c>
    </row>
    <row r="52" spans="1:15" ht="13">
      <c r="B52" s="477"/>
      <c r="D52" s="478"/>
      <c r="E52" s="475" t="s">
        <v>406</v>
      </c>
      <c r="F52" s="480">
        <f>+ROUND(SUM(F44:F51),2)</f>
        <v>96.11</v>
      </c>
    </row>
    <row r="55" spans="1:15" ht="13">
      <c r="A55" s="481"/>
      <c r="B55" s="482" t="s">
        <v>424</v>
      </c>
      <c r="C55" s="483"/>
      <c r="D55" s="483"/>
      <c r="E55" s="481"/>
      <c r="F55" s="481"/>
      <c r="G55" s="481"/>
      <c r="H55" s="481"/>
      <c r="I55" s="481"/>
      <c r="J55" s="481"/>
      <c r="K55" s="481"/>
      <c r="L55" s="481"/>
      <c r="M55" s="481"/>
      <c r="N55" s="481"/>
      <c r="O55" s="481"/>
    </row>
    <row r="56" spans="1:15" ht="13">
      <c r="A56" s="481"/>
      <c r="B56" s="482"/>
      <c r="C56" s="483"/>
      <c r="D56" s="483"/>
      <c r="E56" s="481"/>
      <c r="F56" s="481"/>
      <c r="G56" s="481"/>
      <c r="H56" s="481"/>
      <c r="I56" s="481"/>
      <c r="J56" s="481"/>
      <c r="K56" s="481"/>
      <c r="L56" s="481"/>
      <c r="M56" s="481"/>
      <c r="N56" s="481"/>
      <c r="O56" s="481"/>
    </row>
    <row r="57" spans="1:15" ht="13">
      <c r="A57" s="481"/>
      <c r="B57" s="484" t="s">
        <v>425</v>
      </c>
      <c r="C57" s="483"/>
      <c r="D57" s="483"/>
      <c r="E57" s="481"/>
      <c r="F57" s="481"/>
      <c r="G57" s="481"/>
      <c r="H57" s="481"/>
      <c r="I57" s="481"/>
      <c r="J57" s="481"/>
      <c r="K57" s="481"/>
      <c r="L57" s="481"/>
      <c r="M57" s="481"/>
      <c r="N57" s="481"/>
      <c r="O57" s="481"/>
    </row>
    <row r="58" spans="1:15" ht="15">
      <c r="A58" s="481"/>
      <c r="B58" s="481"/>
      <c r="C58" s="485" t="s">
        <v>426</v>
      </c>
      <c r="D58" s="485" t="s">
        <v>396</v>
      </c>
      <c r="E58" s="485" t="s">
        <v>415</v>
      </c>
      <c r="F58" s="485" t="s">
        <v>427</v>
      </c>
      <c r="G58" s="481"/>
      <c r="H58" s="481"/>
      <c r="I58" s="481"/>
      <c r="J58" s="481"/>
      <c r="K58" s="481"/>
      <c r="L58" s="481"/>
      <c r="M58" s="481"/>
      <c r="N58" s="481"/>
      <c r="O58" s="481"/>
    </row>
    <row r="59" spans="1:15" ht="13">
      <c r="A59" s="481"/>
      <c r="B59" s="486" t="s">
        <v>428</v>
      </c>
      <c r="C59" s="487">
        <v>1</v>
      </c>
      <c r="D59" s="487">
        <v>7</v>
      </c>
      <c r="E59" s="487">
        <v>5</v>
      </c>
      <c r="F59" s="487">
        <f>+C59*D59*E59</f>
        <v>35</v>
      </c>
      <c r="G59" s="481"/>
      <c r="H59" s="481"/>
      <c r="I59" s="481"/>
      <c r="J59" s="481"/>
      <c r="K59" s="481"/>
      <c r="L59" s="481"/>
      <c r="M59" s="481"/>
      <c r="N59" s="481"/>
      <c r="O59" s="481"/>
    </row>
    <row r="60" spans="1:15" ht="13">
      <c r="A60" s="481"/>
      <c r="B60" s="562" t="s">
        <v>429</v>
      </c>
      <c r="C60" s="487">
        <v>2</v>
      </c>
      <c r="D60" s="487">
        <v>21.85</v>
      </c>
      <c r="E60" s="487">
        <v>1.2</v>
      </c>
      <c r="F60" s="487">
        <f>+C60*D60*E60</f>
        <v>52.440000000000005</v>
      </c>
      <c r="G60" s="481"/>
      <c r="H60" s="481"/>
      <c r="I60" s="481"/>
      <c r="J60" s="481"/>
      <c r="K60" s="481"/>
      <c r="L60" s="481"/>
      <c r="M60" s="481"/>
      <c r="N60" s="481"/>
      <c r="O60" s="481"/>
    </row>
    <row r="61" spans="1:15" ht="13">
      <c r="A61" s="481"/>
      <c r="B61" s="562"/>
      <c r="C61" s="487">
        <v>2</v>
      </c>
      <c r="D61" s="487">
        <v>11</v>
      </c>
      <c r="E61" s="487">
        <v>1.2</v>
      </c>
      <c r="F61" s="487">
        <f>+C61*D61*E61</f>
        <v>26.4</v>
      </c>
      <c r="G61" s="481"/>
      <c r="H61" s="481"/>
      <c r="I61" s="481"/>
      <c r="J61" s="481"/>
      <c r="K61" s="481"/>
      <c r="L61" s="481"/>
      <c r="M61" s="481"/>
      <c r="N61" s="481"/>
      <c r="O61" s="481"/>
    </row>
    <row r="62" spans="1:15" ht="13">
      <c r="A62" s="481"/>
      <c r="B62" s="486" t="s">
        <v>430</v>
      </c>
      <c r="C62" s="487">
        <v>1</v>
      </c>
      <c r="D62" s="487">
        <f>1.18+4+1.18</f>
        <v>6.3599999999999994</v>
      </c>
      <c r="E62" s="487">
        <v>11.88</v>
      </c>
      <c r="F62" s="487">
        <f>+C62*D62*E62</f>
        <v>75.556799999999996</v>
      </c>
      <c r="G62" s="481"/>
      <c r="H62" s="481"/>
      <c r="I62" s="481"/>
      <c r="J62" s="481"/>
      <c r="K62" s="481"/>
      <c r="L62" s="481"/>
      <c r="M62" s="481"/>
      <c r="N62" s="481"/>
      <c r="O62" s="481"/>
    </row>
    <row r="63" spans="1:15" ht="13">
      <c r="A63" s="481"/>
      <c r="B63" s="481"/>
      <c r="C63" s="481"/>
      <c r="D63" s="481"/>
      <c r="E63" s="488" t="s">
        <v>406</v>
      </c>
      <c r="F63" s="487">
        <f>SUM(F59:F62)</f>
        <v>189.39679999999998</v>
      </c>
      <c r="G63" s="481"/>
      <c r="H63" s="481"/>
      <c r="I63" s="481"/>
      <c r="J63" s="481"/>
      <c r="K63" s="481"/>
      <c r="L63" s="481"/>
      <c r="M63" s="481"/>
      <c r="N63" s="481"/>
      <c r="O63" s="481"/>
    </row>
    <row r="64" spans="1:15" ht="13">
      <c r="A64" s="481"/>
      <c r="B64" s="481"/>
      <c r="C64" s="481"/>
      <c r="D64" s="481"/>
      <c r="E64" s="488"/>
      <c r="F64" s="487"/>
      <c r="G64" s="481"/>
      <c r="H64" s="481"/>
      <c r="I64" s="481"/>
      <c r="J64" s="481"/>
      <c r="K64" s="481"/>
      <c r="L64" s="481"/>
      <c r="M64" s="481"/>
      <c r="N64" s="481"/>
      <c r="O64" s="481"/>
    </row>
    <row r="65" spans="1:15" ht="13">
      <c r="A65" s="481"/>
      <c r="B65" s="484" t="s">
        <v>431</v>
      </c>
      <c r="C65" s="483"/>
      <c r="D65" s="483"/>
      <c r="E65" s="481"/>
      <c r="F65" s="481"/>
      <c r="G65" s="481"/>
      <c r="H65" s="481"/>
      <c r="I65" s="481"/>
      <c r="J65" s="481"/>
      <c r="K65" s="481"/>
      <c r="L65" s="481"/>
      <c r="M65" s="481"/>
      <c r="N65" s="481"/>
      <c r="O65" s="481"/>
    </row>
    <row r="66" spans="1:15" ht="15">
      <c r="A66" s="481"/>
      <c r="B66" s="481"/>
      <c r="C66" s="485" t="s">
        <v>426</v>
      </c>
      <c r="D66" s="485" t="s">
        <v>396</v>
      </c>
      <c r="E66" s="485" t="s">
        <v>415</v>
      </c>
      <c r="F66" s="485" t="s">
        <v>427</v>
      </c>
      <c r="G66" s="481"/>
      <c r="H66" s="481"/>
      <c r="I66" s="481"/>
      <c r="J66" s="481"/>
      <c r="K66" s="481"/>
      <c r="L66" s="481"/>
      <c r="M66" s="481"/>
      <c r="N66" s="481"/>
      <c r="O66" s="481"/>
    </row>
    <row r="67" spans="1:15" ht="13">
      <c r="A67" s="481"/>
      <c r="B67" s="486" t="s">
        <v>428</v>
      </c>
      <c r="C67" s="487">
        <v>1</v>
      </c>
      <c r="D67" s="487">
        <v>7</v>
      </c>
      <c r="E67" s="487">
        <v>5</v>
      </c>
      <c r="F67" s="487">
        <f>+C67*D67*E67</f>
        <v>35</v>
      </c>
      <c r="G67" s="481"/>
      <c r="H67" s="481"/>
      <c r="I67" s="481"/>
      <c r="J67" s="481"/>
      <c r="K67" s="481"/>
      <c r="L67" s="481"/>
      <c r="M67" s="481"/>
      <c r="N67" s="481"/>
      <c r="O67" s="481"/>
    </row>
    <row r="68" spans="1:15" ht="13">
      <c r="A68" s="481"/>
      <c r="B68" s="562" t="s">
        <v>429</v>
      </c>
      <c r="C68" s="487">
        <v>2</v>
      </c>
      <c r="D68" s="487">
        <v>21.85</v>
      </c>
      <c r="E68" s="487">
        <v>1.2</v>
      </c>
      <c r="F68" s="487">
        <f>+C68*D68*E68</f>
        <v>52.440000000000005</v>
      </c>
      <c r="G68" s="481"/>
      <c r="H68" s="481"/>
      <c r="I68" s="481"/>
      <c r="J68" s="481"/>
      <c r="K68" s="481"/>
      <c r="L68" s="481"/>
      <c r="M68" s="481"/>
      <c r="N68" s="481"/>
      <c r="O68" s="481"/>
    </row>
    <row r="69" spans="1:15" ht="13">
      <c r="A69" s="481"/>
      <c r="B69" s="562"/>
      <c r="C69" s="487">
        <v>2</v>
      </c>
      <c r="D69" s="487">
        <v>11</v>
      </c>
      <c r="E69" s="487">
        <v>1.2</v>
      </c>
      <c r="F69" s="487">
        <f>+C69*D69*E69</f>
        <v>26.4</v>
      </c>
      <c r="G69" s="481"/>
      <c r="H69" s="481"/>
      <c r="I69" s="481"/>
      <c r="J69" s="481"/>
      <c r="K69" s="481"/>
      <c r="L69" s="481"/>
      <c r="M69" s="481"/>
      <c r="N69" s="481"/>
      <c r="O69" s="481"/>
    </row>
    <row r="70" spans="1:15" ht="13">
      <c r="A70" s="481"/>
      <c r="B70" s="486" t="s">
        <v>430</v>
      </c>
      <c r="C70" s="487">
        <v>1</v>
      </c>
      <c r="D70" s="487">
        <f>4</f>
        <v>4</v>
      </c>
      <c r="E70" s="487">
        <v>11.88</v>
      </c>
      <c r="F70" s="487">
        <f>+C70*D70*E70</f>
        <v>47.52</v>
      </c>
      <c r="G70" s="481"/>
      <c r="H70" s="481"/>
      <c r="I70" s="481"/>
      <c r="J70" s="481"/>
      <c r="K70" s="481"/>
      <c r="L70" s="481"/>
      <c r="M70" s="481"/>
      <c r="N70" s="481"/>
      <c r="O70" s="481"/>
    </row>
    <row r="71" spans="1:15" ht="13">
      <c r="A71" s="481"/>
      <c r="B71" s="481"/>
      <c r="C71" s="481"/>
      <c r="D71" s="481"/>
      <c r="E71" s="488" t="s">
        <v>406</v>
      </c>
      <c r="F71" s="487">
        <f>SUM(F67:F70)</f>
        <v>161.36000000000001</v>
      </c>
      <c r="G71" s="481"/>
      <c r="H71" s="481"/>
      <c r="I71" s="481"/>
      <c r="J71" s="481"/>
      <c r="K71" s="481"/>
      <c r="L71" s="481"/>
      <c r="M71" s="481"/>
      <c r="N71" s="481"/>
      <c r="O71" s="481"/>
    </row>
    <row r="72" spans="1:15" ht="13">
      <c r="A72" s="481"/>
      <c r="B72" s="482"/>
      <c r="C72" s="483"/>
      <c r="D72" s="483"/>
      <c r="E72" s="481"/>
      <c r="F72" s="481"/>
      <c r="G72" s="481"/>
      <c r="H72" s="481"/>
      <c r="I72" s="481"/>
      <c r="J72" s="481"/>
      <c r="K72" s="481"/>
      <c r="L72" s="481"/>
      <c r="M72" s="481"/>
      <c r="N72" s="481"/>
      <c r="O72" s="481"/>
    </row>
    <row r="73" spans="1:15" ht="13">
      <c r="A73" s="481"/>
      <c r="B73" s="484" t="s">
        <v>432</v>
      </c>
      <c r="C73" s="483"/>
      <c r="D73" s="483"/>
      <c r="E73" s="481"/>
      <c r="F73" s="481"/>
      <c r="G73" s="481"/>
      <c r="H73" s="481"/>
      <c r="I73" s="481"/>
      <c r="J73" s="481"/>
      <c r="K73" s="481"/>
      <c r="L73" s="481"/>
      <c r="M73" s="481"/>
      <c r="N73" s="481"/>
      <c r="O73" s="481"/>
    </row>
    <row r="74" spans="1:15" ht="15">
      <c r="A74" s="481"/>
      <c r="B74" s="481"/>
      <c r="C74" s="485" t="s">
        <v>426</v>
      </c>
      <c r="D74" s="485" t="s">
        <v>396</v>
      </c>
      <c r="E74" s="485" t="s">
        <v>397</v>
      </c>
      <c r="F74" s="485" t="s">
        <v>415</v>
      </c>
      <c r="G74" s="485" t="s">
        <v>398</v>
      </c>
      <c r="H74" s="481"/>
      <c r="I74" s="481"/>
      <c r="J74" s="481"/>
      <c r="K74" s="481"/>
      <c r="L74" s="481"/>
      <c r="M74" s="481"/>
      <c r="N74" s="481"/>
      <c r="O74" s="481"/>
    </row>
    <row r="75" spans="1:15" ht="13">
      <c r="A75" s="481"/>
      <c r="B75" s="559" t="s">
        <v>433</v>
      </c>
      <c r="C75" s="487">
        <v>3</v>
      </c>
      <c r="D75" s="487">
        <v>0.3</v>
      </c>
      <c r="E75" s="487">
        <v>0.25</v>
      </c>
      <c r="F75" s="487">
        <v>7</v>
      </c>
      <c r="G75" s="487">
        <f t="shared" ref="G75:G81" si="4">+C75*D75*E75*F75</f>
        <v>1.5749999999999997</v>
      </c>
      <c r="H75" s="481"/>
      <c r="I75" s="481"/>
      <c r="J75" s="481"/>
      <c r="K75" s="481"/>
      <c r="L75" s="481"/>
      <c r="M75" s="481"/>
      <c r="N75" s="481"/>
      <c r="O75" s="481"/>
    </row>
    <row r="76" spans="1:15" ht="13">
      <c r="A76" s="481"/>
      <c r="B76" s="559"/>
      <c r="C76" s="487">
        <v>6</v>
      </c>
      <c r="D76" s="487">
        <v>0.3</v>
      </c>
      <c r="E76" s="487">
        <v>0.25</v>
      </c>
      <c r="F76" s="487">
        <f>4.1/2</f>
        <v>2.0499999999999998</v>
      </c>
      <c r="G76" s="487">
        <f t="shared" si="4"/>
        <v>0.92249999999999988</v>
      </c>
      <c r="H76" s="481"/>
      <c r="I76" s="481"/>
      <c r="J76" s="481"/>
      <c r="K76" s="481"/>
      <c r="L76" s="481"/>
      <c r="M76" s="481"/>
      <c r="N76" s="481"/>
      <c r="O76" s="481"/>
    </row>
    <row r="77" spans="1:15" ht="13">
      <c r="A77" s="481"/>
      <c r="B77" s="559" t="s">
        <v>434</v>
      </c>
      <c r="C77" s="487">
        <v>3</v>
      </c>
      <c r="D77" s="487">
        <v>0.3</v>
      </c>
      <c r="E77" s="487">
        <v>0.25</v>
      </c>
      <c r="F77" s="487">
        <v>7</v>
      </c>
      <c r="G77" s="487">
        <f t="shared" si="4"/>
        <v>1.5749999999999997</v>
      </c>
      <c r="H77" s="481"/>
      <c r="I77" s="481"/>
      <c r="J77" s="481"/>
      <c r="K77" s="481"/>
      <c r="L77" s="481"/>
      <c r="M77" s="481"/>
      <c r="N77" s="481"/>
      <c r="O77" s="481"/>
    </row>
    <row r="78" spans="1:15" ht="13">
      <c r="A78" s="481"/>
      <c r="B78" s="559"/>
      <c r="C78" s="487">
        <v>6</v>
      </c>
      <c r="D78" s="487">
        <v>0.3</v>
      </c>
      <c r="E78" s="487">
        <v>0.25</v>
      </c>
      <c r="F78" s="487">
        <f>4.1/2</f>
        <v>2.0499999999999998</v>
      </c>
      <c r="G78" s="487">
        <f t="shared" si="4"/>
        <v>0.92249999999999988</v>
      </c>
      <c r="H78" s="481"/>
      <c r="I78" s="481"/>
      <c r="J78" s="481"/>
      <c r="K78" s="481"/>
      <c r="L78" s="481"/>
      <c r="M78" s="481"/>
      <c r="N78" s="481"/>
      <c r="O78" s="481"/>
    </row>
    <row r="79" spans="1:15" ht="13">
      <c r="A79" s="481"/>
      <c r="B79" s="489" t="s">
        <v>435</v>
      </c>
      <c r="C79" s="487">
        <v>4</v>
      </c>
      <c r="D79" s="487">
        <v>2.0499999999999998</v>
      </c>
      <c r="E79" s="487">
        <v>0.15</v>
      </c>
      <c r="F79" s="487">
        <f>(7-0.3*3)/2</f>
        <v>3.05</v>
      </c>
      <c r="G79" s="487">
        <f t="shared" si="4"/>
        <v>3.7514999999999992</v>
      </c>
      <c r="H79" s="481"/>
      <c r="I79" s="481"/>
      <c r="J79" s="481"/>
      <c r="K79" s="481"/>
      <c r="L79" s="481"/>
      <c r="M79" s="481"/>
      <c r="N79" s="481"/>
      <c r="O79" s="481"/>
    </row>
    <row r="80" spans="1:15" ht="13">
      <c r="A80" s="481"/>
      <c r="B80" s="489" t="s">
        <v>436</v>
      </c>
      <c r="C80" s="487">
        <v>2</v>
      </c>
      <c r="D80" s="487">
        <v>21.85</v>
      </c>
      <c r="E80" s="487">
        <v>0.3</v>
      </c>
      <c r="F80" s="487">
        <v>0.5</v>
      </c>
      <c r="G80" s="487">
        <f t="shared" si="4"/>
        <v>6.5550000000000006</v>
      </c>
      <c r="H80" s="481"/>
      <c r="I80" s="481"/>
      <c r="J80" s="481"/>
      <c r="K80" s="481"/>
      <c r="L80" s="481"/>
      <c r="M80" s="481"/>
      <c r="N80" s="481"/>
      <c r="O80" s="481"/>
    </row>
    <row r="81" spans="1:15" ht="13">
      <c r="A81" s="481"/>
      <c r="B81" s="489"/>
      <c r="C81" s="487">
        <v>2</v>
      </c>
      <c r="D81" s="487">
        <v>11</v>
      </c>
      <c r="E81" s="487">
        <v>0.3</v>
      </c>
      <c r="F81" s="487">
        <v>0.5</v>
      </c>
      <c r="G81" s="487">
        <f t="shared" si="4"/>
        <v>3.3</v>
      </c>
      <c r="H81" s="481"/>
      <c r="I81" s="481"/>
      <c r="J81" s="481"/>
      <c r="K81" s="481"/>
      <c r="L81" s="481"/>
      <c r="M81" s="481"/>
      <c r="N81" s="481"/>
      <c r="O81" s="481"/>
    </row>
    <row r="82" spans="1:15" ht="13">
      <c r="A82" s="481"/>
      <c r="B82" s="489" t="s">
        <v>437</v>
      </c>
      <c r="C82" s="487">
        <v>8</v>
      </c>
      <c r="D82" s="487">
        <v>0.3</v>
      </c>
      <c r="E82" s="487">
        <v>1.5</v>
      </c>
      <c r="F82" s="487"/>
      <c r="G82" s="487">
        <f>PI()*(D82/2)^2*E82*C82</f>
        <v>0.84823001646924423</v>
      </c>
      <c r="H82" s="481"/>
      <c r="I82" s="481"/>
      <c r="J82" s="481"/>
      <c r="K82" s="481"/>
      <c r="L82" s="481"/>
      <c r="M82" s="481"/>
      <c r="N82" s="481"/>
      <c r="O82" s="481"/>
    </row>
    <row r="83" spans="1:15" ht="13">
      <c r="A83" s="481"/>
      <c r="B83" s="481"/>
      <c r="C83" s="481"/>
      <c r="D83" s="481"/>
      <c r="E83" s="481"/>
      <c r="F83" s="488" t="s">
        <v>406</v>
      </c>
      <c r="G83" s="487">
        <f>SUM(G75:G82)</f>
        <v>19.449730016469243</v>
      </c>
      <c r="H83" s="481"/>
      <c r="I83" s="481"/>
      <c r="J83" s="481"/>
      <c r="K83" s="481"/>
      <c r="L83" s="481"/>
      <c r="M83" s="481"/>
      <c r="N83" s="481"/>
      <c r="O83" s="481"/>
    </row>
    <row r="84" spans="1:15">
      <c r="A84" s="481"/>
      <c r="B84" s="481"/>
      <c r="C84" s="481"/>
      <c r="D84" s="481"/>
      <c r="E84" s="481"/>
      <c r="F84" s="481"/>
      <c r="G84" s="481"/>
      <c r="H84" s="481"/>
      <c r="I84" s="481"/>
      <c r="J84" s="481"/>
      <c r="K84" s="481"/>
      <c r="L84" s="481"/>
      <c r="M84" s="481"/>
      <c r="N84" s="481"/>
      <c r="O84" s="481"/>
    </row>
    <row r="85" spans="1:15" ht="13">
      <c r="A85" s="481"/>
      <c r="B85" s="484" t="s">
        <v>438</v>
      </c>
      <c r="C85" s="483"/>
      <c r="D85" s="483"/>
      <c r="E85" s="481"/>
      <c r="F85" s="481"/>
      <c r="G85" s="481"/>
      <c r="H85" s="481"/>
      <c r="I85" s="481"/>
      <c r="J85" s="481"/>
      <c r="K85" s="481"/>
      <c r="L85" s="481"/>
      <c r="M85" s="481"/>
      <c r="N85" s="481"/>
      <c r="O85" s="481"/>
    </row>
    <row r="86" spans="1:15" ht="15">
      <c r="A86" s="481"/>
      <c r="B86" s="481"/>
      <c r="C86" s="485" t="s">
        <v>426</v>
      </c>
      <c r="D86" s="485" t="s">
        <v>396</v>
      </c>
      <c r="E86" s="485" t="s">
        <v>397</v>
      </c>
      <c r="F86" s="485" t="s">
        <v>415</v>
      </c>
      <c r="G86" s="485" t="s">
        <v>398</v>
      </c>
      <c r="H86" s="481"/>
      <c r="I86" s="481"/>
      <c r="J86" s="481"/>
      <c r="K86" s="481"/>
      <c r="L86" s="481"/>
      <c r="M86" s="481"/>
      <c r="N86" s="481"/>
      <c r="O86" s="481"/>
    </row>
    <row r="87" spans="1:15" ht="13">
      <c r="A87" s="481"/>
      <c r="B87" s="486" t="s">
        <v>439</v>
      </c>
      <c r="C87" s="487">
        <v>3</v>
      </c>
      <c r="D87" s="487">
        <v>0.3</v>
      </c>
      <c r="E87" s="487">
        <v>0.25</v>
      </c>
      <c r="F87" s="487">
        <v>7</v>
      </c>
      <c r="G87" s="487">
        <f>+C87*D87*E87*F87</f>
        <v>1.5749999999999997</v>
      </c>
      <c r="H87" s="481"/>
      <c r="I87" s="481"/>
      <c r="J87" s="481"/>
      <c r="K87" s="481"/>
      <c r="L87" s="481"/>
      <c r="M87" s="481"/>
      <c r="N87" s="481"/>
      <c r="O87" s="481"/>
    </row>
    <row r="88" spans="1:15" ht="13">
      <c r="A88" s="481"/>
      <c r="B88" s="486" t="s">
        <v>440</v>
      </c>
      <c r="C88" s="487">
        <v>6</v>
      </c>
      <c r="D88" s="487">
        <v>0.3</v>
      </c>
      <c r="E88" s="487">
        <v>0.25</v>
      </c>
      <c r="F88" s="487">
        <f>4.1/2</f>
        <v>2.0499999999999998</v>
      </c>
      <c r="G88" s="487">
        <f>+C88*D88*E88*F88</f>
        <v>0.92249999999999988</v>
      </c>
      <c r="H88" s="481"/>
      <c r="I88" s="481"/>
      <c r="J88" s="481"/>
      <c r="K88" s="481"/>
      <c r="L88" s="481"/>
      <c r="M88" s="481"/>
      <c r="N88" s="481"/>
      <c r="O88" s="481"/>
    </row>
    <row r="89" spans="1:15" ht="13">
      <c r="A89" s="481"/>
      <c r="B89" s="562" t="s">
        <v>436</v>
      </c>
      <c r="C89" s="487">
        <v>2</v>
      </c>
      <c r="D89" s="487">
        <v>21.85</v>
      </c>
      <c r="E89" s="487">
        <v>0.3</v>
      </c>
      <c r="F89" s="487">
        <v>0.25</v>
      </c>
      <c r="G89" s="487">
        <f>+C89*D89*E89*F89</f>
        <v>3.2775000000000003</v>
      </c>
      <c r="H89" s="481"/>
      <c r="I89" s="481"/>
      <c r="J89" s="481"/>
      <c r="K89" s="481"/>
      <c r="L89" s="481"/>
      <c r="M89" s="481"/>
      <c r="N89" s="481"/>
      <c r="O89" s="481"/>
    </row>
    <row r="90" spans="1:15" ht="13">
      <c r="A90" s="481"/>
      <c r="B90" s="562"/>
      <c r="C90" s="487">
        <v>2</v>
      </c>
      <c r="D90" s="487">
        <v>11</v>
      </c>
      <c r="E90" s="487">
        <v>0.3</v>
      </c>
      <c r="F90" s="487">
        <v>0.25</v>
      </c>
      <c r="G90" s="487">
        <f>+C90*D90*E90*F90</f>
        <v>1.65</v>
      </c>
      <c r="H90" s="481"/>
      <c r="I90" s="481"/>
      <c r="J90" s="481"/>
      <c r="K90" s="481"/>
      <c r="L90" s="481"/>
      <c r="M90" s="481"/>
      <c r="N90" s="481"/>
      <c r="O90" s="481"/>
    </row>
    <row r="91" spans="1:15" ht="13">
      <c r="A91" s="481"/>
      <c r="B91" s="481"/>
      <c r="C91" s="481"/>
      <c r="D91" s="481"/>
      <c r="E91" s="481"/>
      <c r="F91" s="488" t="s">
        <v>406</v>
      </c>
      <c r="G91" s="487">
        <f>SUM(G87:G90)</f>
        <v>7.4250000000000007</v>
      </c>
      <c r="H91" s="481"/>
      <c r="I91" s="481"/>
      <c r="J91" s="481"/>
      <c r="K91" s="481"/>
      <c r="L91" s="481"/>
      <c r="M91" s="481"/>
      <c r="N91" s="481"/>
      <c r="O91" s="481"/>
    </row>
    <row r="92" spans="1:15" ht="13">
      <c r="A92" s="481"/>
      <c r="B92" s="481"/>
      <c r="C92" s="481"/>
      <c r="D92" s="481"/>
      <c r="E92" s="487" t="s">
        <v>441</v>
      </c>
      <c r="F92" s="490">
        <v>0.6</v>
      </c>
      <c r="G92" s="491">
        <f>+$G$91*F92</f>
        <v>4.4550000000000001</v>
      </c>
      <c r="H92" s="481"/>
      <c r="I92" s="481"/>
      <c r="J92" s="481"/>
      <c r="K92" s="481"/>
      <c r="L92" s="481"/>
      <c r="M92" s="481"/>
      <c r="N92" s="481"/>
      <c r="O92" s="481"/>
    </row>
    <row r="93" spans="1:15" ht="13">
      <c r="A93" s="481"/>
      <c r="B93" s="481"/>
      <c r="C93" s="481"/>
      <c r="D93" s="481"/>
      <c r="E93" s="487" t="s">
        <v>442</v>
      </c>
      <c r="F93" s="490">
        <v>0.4</v>
      </c>
      <c r="G93" s="491">
        <f>+$G$91*F93</f>
        <v>2.9700000000000006</v>
      </c>
      <c r="H93" s="481"/>
      <c r="I93" s="481"/>
      <c r="J93" s="481"/>
      <c r="K93" s="481"/>
      <c r="L93" s="481"/>
      <c r="M93" s="481"/>
      <c r="N93" s="481"/>
      <c r="O93" s="481"/>
    </row>
    <row r="94" spans="1:15">
      <c r="A94" s="481"/>
      <c r="B94" s="481"/>
      <c r="C94" s="481"/>
      <c r="D94" s="481"/>
      <c r="E94" s="481"/>
      <c r="F94" s="481"/>
      <c r="G94" s="481"/>
      <c r="H94" s="481"/>
      <c r="I94" s="481"/>
      <c r="J94" s="481"/>
      <c r="K94" s="481"/>
      <c r="L94" s="481"/>
      <c r="M94" s="481"/>
      <c r="N94" s="481"/>
      <c r="O94" s="481"/>
    </row>
    <row r="95" spans="1:15" ht="13">
      <c r="A95" s="481"/>
      <c r="B95" s="485" t="s">
        <v>400</v>
      </c>
      <c r="C95" s="487">
        <f>$G$92*G96</f>
        <v>1336.5</v>
      </c>
      <c r="D95" s="487"/>
      <c r="E95" s="487"/>
      <c r="F95" s="560" t="s">
        <v>443</v>
      </c>
      <c r="G95" s="561"/>
      <c r="H95" s="481"/>
      <c r="I95" s="481"/>
      <c r="J95" s="481"/>
      <c r="K95" s="481"/>
      <c r="L95" s="481"/>
      <c r="M95" s="481"/>
      <c r="N95" s="481"/>
      <c r="O95" s="481"/>
    </row>
    <row r="96" spans="1:15" ht="14">
      <c r="A96" s="481"/>
      <c r="B96" s="485" t="s">
        <v>402</v>
      </c>
      <c r="C96" s="487">
        <f t="shared" ref="C96:C98" si="5">$G$92*G97</f>
        <v>2.1383999999999999</v>
      </c>
      <c r="D96" s="487"/>
      <c r="E96" s="487"/>
      <c r="F96" s="492" t="s">
        <v>400</v>
      </c>
      <c r="G96" s="493">
        <v>300</v>
      </c>
      <c r="H96" s="481"/>
      <c r="I96" s="481"/>
      <c r="J96" s="481"/>
      <c r="K96" s="481"/>
      <c r="L96" s="481"/>
      <c r="M96" s="481"/>
      <c r="N96" s="481"/>
      <c r="O96" s="481"/>
    </row>
    <row r="97" spans="1:15" ht="14">
      <c r="A97" s="481"/>
      <c r="B97" s="485" t="s">
        <v>403</v>
      </c>
      <c r="C97" s="487">
        <f t="shared" si="5"/>
        <v>4.2322499999999996</v>
      </c>
      <c r="D97" s="487"/>
      <c r="E97" s="487"/>
      <c r="F97" s="492" t="s">
        <v>402</v>
      </c>
      <c r="G97" s="493">
        <v>0.48</v>
      </c>
      <c r="H97" s="481"/>
      <c r="I97" s="481"/>
      <c r="J97" s="481"/>
      <c r="K97" s="481"/>
      <c r="L97" s="481"/>
      <c r="M97" s="481"/>
      <c r="N97" s="481"/>
      <c r="O97" s="481"/>
    </row>
    <row r="98" spans="1:15" ht="14">
      <c r="A98" s="481"/>
      <c r="B98" s="485" t="s">
        <v>404</v>
      </c>
      <c r="C98" s="487">
        <f t="shared" si="5"/>
        <v>757.35</v>
      </c>
      <c r="D98" s="487"/>
      <c r="E98" s="487"/>
      <c r="F98" s="492" t="s">
        <v>403</v>
      </c>
      <c r="G98" s="493">
        <v>0.95</v>
      </c>
      <c r="H98" s="481"/>
      <c r="I98" s="481"/>
      <c r="J98" s="481"/>
      <c r="K98" s="481"/>
      <c r="L98" s="481"/>
      <c r="M98" s="481"/>
      <c r="N98" s="481"/>
      <c r="O98" s="481"/>
    </row>
    <row r="99" spans="1:15" ht="13">
      <c r="A99" s="481"/>
      <c r="B99" s="485" t="s">
        <v>442</v>
      </c>
      <c r="C99" s="487">
        <f>+G93</f>
        <v>2.9700000000000006</v>
      </c>
      <c r="D99" s="487"/>
      <c r="E99" s="487"/>
      <c r="F99" s="494" t="s">
        <v>404</v>
      </c>
      <c r="G99" s="495">
        <v>170</v>
      </c>
      <c r="H99" s="481"/>
      <c r="I99" s="481"/>
      <c r="J99" s="481"/>
      <c r="K99" s="481"/>
      <c r="L99" s="481"/>
      <c r="M99" s="481"/>
      <c r="N99" s="481"/>
      <c r="O99" s="481"/>
    </row>
    <row r="100" spans="1:15">
      <c r="A100" s="481"/>
      <c r="B100" s="481"/>
      <c r="C100" s="481"/>
      <c r="D100" s="481"/>
      <c r="E100" s="481"/>
      <c r="F100" s="481"/>
      <c r="G100" s="481"/>
      <c r="H100" s="481"/>
      <c r="I100" s="481"/>
      <c r="J100" s="481"/>
      <c r="K100" s="481"/>
      <c r="L100" s="481"/>
      <c r="M100" s="481"/>
      <c r="N100" s="481"/>
      <c r="O100" s="481"/>
    </row>
    <row r="101" spans="1:15" ht="13">
      <c r="A101" s="481"/>
      <c r="B101" s="484" t="s">
        <v>444</v>
      </c>
      <c r="C101" s="483"/>
      <c r="D101" s="483"/>
      <c r="E101" s="481"/>
      <c r="F101" s="481"/>
      <c r="G101" s="481"/>
      <c r="H101" s="481"/>
      <c r="I101" s="481"/>
      <c r="J101" s="481"/>
      <c r="K101" s="481"/>
      <c r="L101" s="481"/>
      <c r="M101" s="481"/>
      <c r="N101" s="481"/>
      <c r="O101" s="481"/>
    </row>
    <row r="102" spans="1:15" ht="15">
      <c r="A102" s="481"/>
      <c r="B102" s="481"/>
      <c r="C102" s="485" t="s">
        <v>426</v>
      </c>
      <c r="D102" s="485" t="s">
        <v>396</v>
      </c>
      <c r="E102" s="485" t="s">
        <v>397</v>
      </c>
      <c r="F102" s="485" t="s">
        <v>415</v>
      </c>
      <c r="G102" s="485" t="s">
        <v>398</v>
      </c>
      <c r="H102" s="481"/>
      <c r="I102" s="481"/>
      <c r="J102" s="481"/>
      <c r="K102" s="481"/>
      <c r="L102" s="481"/>
      <c r="M102" s="481"/>
      <c r="N102" s="481"/>
      <c r="O102" s="481"/>
    </row>
    <row r="103" spans="1:15" ht="13">
      <c r="A103" s="481"/>
      <c r="B103" s="486" t="s">
        <v>439</v>
      </c>
      <c r="C103" s="487">
        <v>3</v>
      </c>
      <c r="D103" s="487">
        <v>0.25</v>
      </c>
      <c r="E103" s="487">
        <v>0.25</v>
      </c>
      <c r="F103" s="487">
        <v>7</v>
      </c>
      <c r="G103" s="487">
        <f>+C103*D103*E103*F103</f>
        <v>1.3125</v>
      </c>
      <c r="H103" s="481"/>
      <c r="I103" s="481"/>
      <c r="J103" s="481"/>
      <c r="K103" s="481"/>
      <c r="L103" s="481"/>
      <c r="M103" s="481"/>
      <c r="N103" s="481"/>
      <c r="O103" s="481"/>
    </row>
    <row r="104" spans="1:15" ht="13">
      <c r="A104" s="481"/>
      <c r="B104" s="486" t="s">
        <v>440</v>
      </c>
      <c r="C104" s="487">
        <v>6</v>
      </c>
      <c r="D104" s="487">
        <v>0.25</v>
      </c>
      <c r="E104" s="487">
        <v>0.25</v>
      </c>
      <c r="F104" s="487">
        <f>4.25/2</f>
        <v>2.125</v>
      </c>
      <c r="G104" s="487">
        <f>+C104*D104*E104*F104</f>
        <v>0.796875</v>
      </c>
      <c r="H104" s="481"/>
      <c r="I104" s="481"/>
      <c r="J104" s="481"/>
      <c r="K104" s="481"/>
      <c r="L104" s="481"/>
      <c r="M104" s="481"/>
      <c r="N104" s="481"/>
      <c r="O104" s="481"/>
    </row>
    <row r="105" spans="1:15" ht="13">
      <c r="A105" s="481"/>
      <c r="B105" s="562" t="s">
        <v>436</v>
      </c>
      <c r="C105" s="487">
        <v>2</v>
      </c>
      <c r="D105" s="487">
        <v>21.85</v>
      </c>
      <c r="E105" s="487">
        <v>0.25</v>
      </c>
      <c r="F105" s="487">
        <v>0.25</v>
      </c>
      <c r="G105" s="487">
        <f>+C105*D105*E105*F105</f>
        <v>2.7312500000000002</v>
      </c>
      <c r="H105" s="481"/>
      <c r="I105" s="481"/>
      <c r="J105" s="481"/>
      <c r="K105" s="481"/>
      <c r="L105" s="481"/>
      <c r="M105" s="481"/>
      <c r="N105" s="481"/>
      <c r="O105" s="481"/>
    </row>
    <row r="106" spans="1:15" ht="13">
      <c r="A106" s="481"/>
      <c r="B106" s="562"/>
      <c r="C106" s="487">
        <v>2</v>
      </c>
      <c r="D106" s="487">
        <v>11</v>
      </c>
      <c r="E106" s="487">
        <v>0.25</v>
      </c>
      <c r="F106" s="487">
        <v>0.25</v>
      </c>
      <c r="G106" s="487">
        <f>+C106*D106*E106*F106</f>
        <v>1.375</v>
      </c>
      <c r="H106" s="481"/>
      <c r="I106" s="481"/>
      <c r="J106" s="481"/>
      <c r="K106" s="481"/>
      <c r="L106" s="481"/>
      <c r="M106" s="481"/>
      <c r="N106" s="481"/>
      <c r="O106" s="481"/>
    </row>
    <row r="107" spans="1:15" ht="13">
      <c r="A107" s="481"/>
      <c r="B107" s="481"/>
      <c r="C107" s="481"/>
      <c r="D107" s="481"/>
      <c r="E107" s="481"/>
      <c r="F107" s="488" t="s">
        <v>406</v>
      </c>
      <c r="G107" s="487">
        <f>SUM(G103:G106)</f>
        <v>6.2156250000000002</v>
      </c>
      <c r="H107" s="481"/>
      <c r="I107" s="481"/>
      <c r="J107" s="481"/>
      <c r="K107" s="481"/>
      <c r="L107" s="481"/>
      <c r="M107" s="481"/>
      <c r="N107" s="481"/>
      <c r="O107" s="481"/>
    </row>
    <row r="108" spans="1:15">
      <c r="A108" s="481"/>
      <c r="B108" s="481"/>
      <c r="C108" s="481"/>
      <c r="D108" s="481"/>
      <c r="E108" s="481"/>
      <c r="F108" s="481"/>
      <c r="G108" s="481"/>
      <c r="H108" s="481"/>
      <c r="I108" s="481"/>
      <c r="J108" s="481"/>
      <c r="K108" s="481"/>
      <c r="L108" s="481"/>
      <c r="M108" s="481"/>
      <c r="N108" s="481"/>
      <c r="O108" s="481"/>
    </row>
    <row r="109" spans="1:15" ht="13">
      <c r="A109" s="481"/>
      <c r="B109" s="485" t="s">
        <v>400</v>
      </c>
      <c r="C109" s="487">
        <f>$G$107*G110</f>
        <v>2175.46875</v>
      </c>
      <c r="D109" s="487"/>
      <c r="E109" s="487"/>
      <c r="F109" s="560" t="s">
        <v>407</v>
      </c>
      <c r="G109" s="561"/>
      <c r="H109" s="481"/>
      <c r="I109" s="481"/>
      <c r="J109" s="481"/>
      <c r="K109" s="481"/>
      <c r="L109" s="481"/>
      <c r="M109" s="481"/>
      <c r="N109" s="481"/>
      <c r="O109" s="481"/>
    </row>
    <row r="110" spans="1:15" ht="14">
      <c r="A110" s="481"/>
      <c r="B110" s="485" t="s">
        <v>402</v>
      </c>
      <c r="C110" s="487">
        <f>$G$107*G111</f>
        <v>3.4807500000000005</v>
      </c>
      <c r="D110" s="487"/>
      <c r="E110" s="487"/>
      <c r="F110" s="492" t="s">
        <v>400</v>
      </c>
      <c r="G110" s="493">
        <v>350</v>
      </c>
      <c r="H110" s="481"/>
      <c r="I110" s="481"/>
      <c r="J110" s="481"/>
      <c r="K110" s="481"/>
      <c r="L110" s="481"/>
      <c r="M110" s="481"/>
      <c r="N110" s="481"/>
      <c r="O110" s="481"/>
    </row>
    <row r="111" spans="1:15" ht="14">
      <c r="A111" s="481"/>
      <c r="B111" s="485" t="s">
        <v>403</v>
      </c>
      <c r="C111" s="487">
        <f>$G$107*G112</f>
        <v>5.2211249999999998</v>
      </c>
      <c r="D111" s="487"/>
      <c r="E111" s="487"/>
      <c r="F111" s="492" t="s">
        <v>402</v>
      </c>
      <c r="G111" s="493">
        <v>0.56000000000000005</v>
      </c>
      <c r="H111" s="481"/>
      <c r="I111" s="481"/>
      <c r="J111" s="481"/>
      <c r="K111" s="481"/>
      <c r="L111" s="481"/>
      <c r="M111" s="481"/>
      <c r="N111" s="481"/>
      <c r="O111" s="481"/>
    </row>
    <row r="112" spans="1:15" ht="14">
      <c r="A112" s="481"/>
      <c r="B112" s="485" t="s">
        <v>404</v>
      </c>
      <c r="C112" s="487">
        <f>$G$107*G113</f>
        <v>1553.90625</v>
      </c>
      <c r="D112" s="487"/>
      <c r="E112" s="487"/>
      <c r="F112" s="492" t="s">
        <v>403</v>
      </c>
      <c r="G112" s="493">
        <v>0.84</v>
      </c>
      <c r="H112" s="481"/>
      <c r="I112" s="481"/>
      <c r="J112" s="481"/>
      <c r="K112" s="481"/>
      <c r="L112" s="481"/>
      <c r="M112" s="481"/>
      <c r="N112" s="481"/>
      <c r="O112" s="481"/>
    </row>
    <row r="113" spans="1:15" ht="13">
      <c r="A113" s="481"/>
      <c r="B113" s="485"/>
      <c r="C113" s="487"/>
      <c r="D113" s="487"/>
      <c r="E113" s="487"/>
      <c r="F113" s="494" t="s">
        <v>404</v>
      </c>
      <c r="G113" s="495">
        <v>250</v>
      </c>
      <c r="H113" s="481"/>
      <c r="I113" s="481"/>
      <c r="J113" s="481"/>
      <c r="K113" s="481"/>
      <c r="L113" s="481"/>
      <c r="M113" s="481"/>
      <c r="N113" s="481"/>
      <c r="O113" s="481"/>
    </row>
    <row r="114" spans="1:15">
      <c r="A114" s="481"/>
      <c r="B114" s="481"/>
      <c r="C114" s="481"/>
      <c r="D114" s="481"/>
      <c r="E114" s="481"/>
      <c r="F114" s="481"/>
      <c r="G114" s="481"/>
      <c r="H114" s="481"/>
      <c r="I114" s="481"/>
      <c r="J114" s="481"/>
      <c r="K114" s="481"/>
      <c r="L114" s="481"/>
      <c r="M114" s="481"/>
      <c r="N114" s="481"/>
      <c r="O114" s="481"/>
    </row>
    <row r="115" spans="1:15" ht="13">
      <c r="A115" s="481"/>
      <c r="B115" s="484" t="s">
        <v>445</v>
      </c>
      <c r="C115" s="483"/>
      <c r="D115" s="483"/>
      <c r="E115" s="481"/>
      <c r="F115" s="481"/>
      <c r="G115" s="481"/>
      <c r="H115" s="481"/>
      <c r="I115" s="481"/>
      <c r="J115" s="481"/>
      <c r="K115" s="481"/>
      <c r="L115" s="481"/>
      <c r="M115" s="481"/>
      <c r="N115" s="481"/>
      <c r="O115" s="481"/>
    </row>
    <row r="116" spans="1:15" ht="15">
      <c r="A116" s="481"/>
      <c r="B116" s="481"/>
      <c r="C116" s="485" t="s">
        <v>426</v>
      </c>
      <c r="D116" s="485" t="s">
        <v>396</v>
      </c>
      <c r="E116" s="485" t="s">
        <v>397</v>
      </c>
      <c r="F116" s="485" t="s">
        <v>415</v>
      </c>
      <c r="G116" s="485" t="s">
        <v>398</v>
      </c>
      <c r="H116" s="481"/>
      <c r="I116" s="481"/>
      <c r="J116" s="481"/>
      <c r="K116" s="481"/>
      <c r="L116" s="481"/>
      <c r="M116" s="481"/>
      <c r="N116" s="481"/>
      <c r="O116" s="481"/>
    </row>
    <row r="117" spans="1:15" ht="13">
      <c r="A117" s="481"/>
      <c r="B117" s="489" t="s">
        <v>446</v>
      </c>
      <c r="C117" s="487">
        <v>4</v>
      </c>
      <c r="D117" s="487">
        <f>+F104</f>
        <v>2.125</v>
      </c>
      <c r="E117" s="487">
        <v>0.15</v>
      </c>
      <c r="F117" s="487">
        <f>(7-0.25*3)/2</f>
        <v>3.125</v>
      </c>
      <c r="G117" s="487">
        <f>+C117*D117*E117*F117</f>
        <v>3.9843749999999996</v>
      </c>
      <c r="H117" s="481"/>
      <c r="I117" s="481"/>
      <c r="J117" s="481"/>
      <c r="K117" s="481"/>
      <c r="L117" s="481"/>
      <c r="M117" s="481"/>
      <c r="N117" s="481"/>
      <c r="O117" s="481"/>
    </row>
    <row r="118" spans="1:15" ht="13">
      <c r="A118" s="481"/>
      <c r="B118" s="559" t="s">
        <v>447</v>
      </c>
      <c r="C118" s="487">
        <v>2</v>
      </c>
      <c r="D118" s="487">
        <v>21.85</v>
      </c>
      <c r="E118" s="487">
        <v>0.25</v>
      </c>
      <c r="F118" s="487">
        <v>0.05</v>
      </c>
      <c r="G118" s="487">
        <f>+C118*D118*E118*F118</f>
        <v>0.54625000000000001</v>
      </c>
      <c r="H118" s="481"/>
      <c r="I118" s="481"/>
      <c r="J118" s="481"/>
      <c r="K118" s="481"/>
      <c r="L118" s="481"/>
      <c r="M118" s="481"/>
      <c r="N118" s="481"/>
      <c r="O118" s="481"/>
    </row>
    <row r="119" spans="1:15" ht="13">
      <c r="A119" s="481"/>
      <c r="B119" s="559"/>
      <c r="C119" s="487">
        <v>2</v>
      </c>
      <c r="D119" s="487">
        <v>11</v>
      </c>
      <c r="E119" s="487">
        <v>0.25</v>
      </c>
      <c r="F119" s="487">
        <v>0.05</v>
      </c>
      <c r="G119" s="487">
        <f>+C119*D119*E119*F119</f>
        <v>0.27500000000000002</v>
      </c>
      <c r="H119" s="481"/>
      <c r="I119" s="481"/>
      <c r="J119" s="481"/>
      <c r="K119" s="481"/>
      <c r="L119" s="481"/>
      <c r="M119" s="481"/>
      <c r="N119" s="481"/>
      <c r="O119" s="481"/>
    </row>
    <row r="120" spans="1:15" ht="13">
      <c r="A120" s="481"/>
      <c r="B120" s="481"/>
      <c r="C120" s="481"/>
      <c r="D120" s="481"/>
      <c r="E120" s="481"/>
      <c r="F120" s="488" t="s">
        <v>406</v>
      </c>
      <c r="G120" s="487">
        <f>SUM(G117:G119)</f>
        <v>4.805625</v>
      </c>
      <c r="H120" s="481"/>
      <c r="I120" s="481"/>
      <c r="J120" s="481"/>
      <c r="K120" s="481"/>
      <c r="L120" s="481"/>
      <c r="M120" s="481"/>
      <c r="N120" s="481"/>
      <c r="O120" s="481"/>
    </row>
    <row r="121" spans="1:15">
      <c r="A121" s="481"/>
      <c r="B121" s="481"/>
      <c r="C121" s="481"/>
      <c r="D121" s="481"/>
      <c r="E121" s="481"/>
      <c r="F121" s="481"/>
      <c r="G121" s="481"/>
      <c r="H121" s="481"/>
      <c r="I121" s="481"/>
      <c r="J121" s="481"/>
      <c r="K121" s="481"/>
      <c r="L121" s="481"/>
      <c r="M121" s="481"/>
      <c r="N121" s="481"/>
      <c r="O121" s="481"/>
    </row>
    <row r="122" spans="1:15" ht="13">
      <c r="A122" s="481"/>
      <c r="B122" s="484" t="s">
        <v>448</v>
      </c>
      <c r="C122" s="483"/>
      <c r="D122" s="483"/>
      <c r="E122" s="481"/>
      <c r="F122" s="481"/>
      <c r="G122" s="481"/>
      <c r="H122" s="481"/>
      <c r="I122" s="481"/>
      <c r="J122" s="481"/>
      <c r="K122" s="481"/>
      <c r="L122" s="481"/>
      <c r="M122" s="481"/>
      <c r="N122" s="481"/>
      <c r="O122" s="481"/>
    </row>
    <row r="123" spans="1:15" ht="15">
      <c r="A123" s="481"/>
      <c r="B123" s="481"/>
      <c r="C123" s="485" t="s">
        <v>426</v>
      </c>
      <c r="D123" s="485" t="s">
        <v>396</v>
      </c>
      <c r="E123" s="485" t="s">
        <v>397</v>
      </c>
      <c r="F123" s="485" t="s">
        <v>415</v>
      </c>
      <c r="G123" s="485" t="s">
        <v>398</v>
      </c>
      <c r="H123" s="481"/>
      <c r="I123" s="481"/>
      <c r="J123" s="481"/>
      <c r="K123" s="481"/>
      <c r="L123" s="481"/>
      <c r="M123" s="481"/>
      <c r="N123" s="481"/>
      <c r="O123" s="481"/>
    </row>
    <row r="124" spans="1:15" ht="13">
      <c r="A124" s="481"/>
      <c r="B124" s="496" t="s">
        <v>449</v>
      </c>
      <c r="C124" s="487">
        <v>1</v>
      </c>
      <c r="D124" s="487">
        <v>0.2</v>
      </c>
      <c r="E124" s="487">
        <v>5</v>
      </c>
      <c r="F124" s="487">
        <v>7</v>
      </c>
      <c r="G124" s="487">
        <f>+C124*D124*E124*F124</f>
        <v>7</v>
      </c>
      <c r="H124" s="481"/>
      <c r="I124" s="481"/>
      <c r="J124" s="481"/>
      <c r="K124" s="481"/>
      <c r="L124" s="481"/>
      <c r="M124" s="481"/>
      <c r="N124" s="481"/>
      <c r="O124" s="481"/>
    </row>
    <row r="125" spans="1:15" ht="13">
      <c r="A125" s="481"/>
      <c r="B125" s="481"/>
      <c r="C125" s="481"/>
      <c r="D125" s="481"/>
      <c r="E125" s="481"/>
      <c r="F125" s="488" t="s">
        <v>406</v>
      </c>
      <c r="G125" s="487">
        <f>SUM(G124:G124)</f>
        <v>7</v>
      </c>
      <c r="H125" s="481"/>
      <c r="I125" s="481"/>
      <c r="J125" s="481"/>
      <c r="K125" s="481"/>
      <c r="L125" s="481"/>
      <c r="M125" s="481"/>
      <c r="N125" s="481"/>
      <c r="O125" s="481"/>
    </row>
    <row r="126" spans="1:15">
      <c r="A126" s="481"/>
      <c r="B126" s="481"/>
      <c r="C126" s="481"/>
      <c r="D126" s="481"/>
      <c r="E126" s="481"/>
      <c r="F126" s="481"/>
      <c r="G126" s="481"/>
      <c r="H126" s="481"/>
      <c r="I126" s="481"/>
      <c r="J126" s="481"/>
      <c r="K126" s="481"/>
      <c r="L126" s="481"/>
      <c r="M126" s="481"/>
      <c r="N126" s="481"/>
      <c r="O126" s="481"/>
    </row>
    <row r="127" spans="1:15" ht="13">
      <c r="A127" s="481"/>
      <c r="B127" s="485" t="s">
        <v>400</v>
      </c>
      <c r="C127" s="487">
        <f>$G$125*G128</f>
        <v>2450</v>
      </c>
      <c r="D127" s="487"/>
      <c r="E127" s="487"/>
      <c r="F127" s="560" t="s">
        <v>407</v>
      </c>
      <c r="G127" s="561"/>
      <c r="H127" s="481"/>
      <c r="I127" s="481"/>
      <c r="J127" s="481"/>
      <c r="K127" s="481"/>
      <c r="L127" s="481"/>
      <c r="M127" s="481"/>
      <c r="N127" s="481"/>
      <c r="O127" s="481"/>
    </row>
    <row r="128" spans="1:15" ht="14">
      <c r="A128" s="481"/>
      <c r="B128" s="485" t="s">
        <v>402</v>
      </c>
      <c r="C128" s="487">
        <f t="shared" ref="C128:C130" si="6">$G$125*G129</f>
        <v>3.9200000000000004</v>
      </c>
      <c r="D128" s="487"/>
      <c r="E128" s="487"/>
      <c r="F128" s="492" t="s">
        <v>400</v>
      </c>
      <c r="G128" s="493">
        <v>350</v>
      </c>
      <c r="H128" s="481"/>
      <c r="I128" s="481"/>
      <c r="J128" s="481"/>
      <c r="K128" s="481"/>
      <c r="L128" s="481"/>
      <c r="M128" s="481"/>
      <c r="N128" s="481"/>
      <c r="O128" s="481"/>
    </row>
    <row r="129" spans="1:15" ht="14">
      <c r="A129" s="481"/>
      <c r="B129" s="485" t="s">
        <v>403</v>
      </c>
      <c r="C129" s="487">
        <f t="shared" si="6"/>
        <v>5.88</v>
      </c>
      <c r="D129" s="487"/>
      <c r="E129" s="487"/>
      <c r="F129" s="492" t="s">
        <v>402</v>
      </c>
      <c r="G129" s="493">
        <v>0.56000000000000005</v>
      </c>
      <c r="H129" s="481"/>
      <c r="I129" s="481"/>
      <c r="J129" s="481"/>
      <c r="K129" s="481"/>
      <c r="L129" s="481"/>
      <c r="M129" s="481"/>
      <c r="N129" s="481"/>
      <c r="O129" s="481"/>
    </row>
    <row r="130" spans="1:15" ht="14">
      <c r="A130" s="481"/>
      <c r="B130" s="485" t="s">
        <v>404</v>
      </c>
      <c r="C130" s="487">
        <f t="shared" si="6"/>
        <v>1750</v>
      </c>
      <c r="D130" s="487"/>
      <c r="E130" s="487"/>
      <c r="F130" s="492" t="s">
        <v>403</v>
      </c>
      <c r="G130" s="493">
        <v>0.84</v>
      </c>
      <c r="H130" s="481"/>
      <c r="I130" s="481"/>
      <c r="J130" s="481"/>
      <c r="K130" s="481"/>
      <c r="L130" s="481"/>
      <c r="M130" s="481"/>
      <c r="N130" s="481"/>
      <c r="O130" s="481"/>
    </row>
    <row r="131" spans="1:15" ht="13">
      <c r="A131" s="481"/>
      <c r="B131" s="485"/>
      <c r="C131" s="487"/>
      <c r="D131" s="487"/>
      <c r="E131" s="487"/>
      <c r="F131" s="494" t="s">
        <v>404</v>
      </c>
      <c r="G131" s="495">
        <v>250</v>
      </c>
      <c r="H131" s="481"/>
      <c r="I131" s="481"/>
      <c r="J131" s="481"/>
      <c r="K131" s="481"/>
      <c r="L131" s="481"/>
      <c r="M131" s="481"/>
      <c r="N131" s="481"/>
      <c r="O131" s="481"/>
    </row>
    <row r="132" spans="1:15" ht="13">
      <c r="A132" s="481"/>
      <c r="B132" s="485"/>
      <c r="C132" s="487"/>
      <c r="D132" s="487"/>
      <c r="E132" s="487"/>
      <c r="F132" s="497"/>
      <c r="G132" s="498"/>
      <c r="H132" s="481"/>
      <c r="I132" s="481"/>
      <c r="J132" s="481"/>
      <c r="K132" s="481"/>
      <c r="L132" s="481"/>
      <c r="M132" s="481"/>
      <c r="N132" s="481"/>
      <c r="O132" s="481"/>
    </row>
    <row r="133" spans="1:15" ht="13">
      <c r="A133" s="481"/>
      <c r="B133" s="485"/>
      <c r="C133" s="487"/>
      <c r="D133" s="487"/>
      <c r="E133" s="487"/>
      <c r="F133" s="497"/>
      <c r="G133" s="498"/>
      <c r="H133" s="481"/>
      <c r="I133" s="481"/>
      <c r="J133" s="481"/>
      <c r="K133" s="481"/>
      <c r="L133" s="481"/>
      <c r="M133" s="481"/>
      <c r="N133" s="481"/>
      <c r="O133" s="481"/>
    </row>
    <row r="134" spans="1:15" ht="13">
      <c r="A134" s="481"/>
      <c r="B134" s="484" t="s">
        <v>450</v>
      </c>
      <c r="C134" s="483"/>
      <c r="D134" s="483"/>
      <c r="E134" s="481"/>
      <c r="F134" s="481"/>
      <c r="G134" s="481"/>
      <c r="H134" s="481"/>
      <c r="I134" s="481"/>
      <c r="J134" s="481"/>
      <c r="K134" s="481"/>
      <c r="L134" s="481"/>
      <c r="M134" s="481"/>
      <c r="N134" s="481"/>
      <c r="O134" s="481"/>
    </row>
    <row r="135" spans="1:15" ht="15">
      <c r="A135" s="481"/>
      <c r="B135" s="481"/>
      <c r="C135" s="485" t="s">
        <v>426</v>
      </c>
      <c r="D135" s="485" t="s">
        <v>396</v>
      </c>
      <c r="E135" s="485" t="s">
        <v>397</v>
      </c>
      <c r="F135" s="485" t="s">
        <v>415</v>
      </c>
      <c r="G135" s="485" t="s">
        <v>398</v>
      </c>
      <c r="H135" s="481"/>
      <c r="I135" s="481"/>
      <c r="J135" s="481"/>
      <c r="K135" s="481"/>
      <c r="L135" s="481"/>
      <c r="M135" s="481"/>
      <c r="N135" s="481"/>
      <c r="O135" s="481"/>
    </row>
    <row r="136" spans="1:15" ht="13">
      <c r="A136" s="481"/>
      <c r="B136" s="489" t="s">
        <v>437</v>
      </c>
      <c r="C136" s="487">
        <v>8</v>
      </c>
      <c r="D136" s="487">
        <v>0.3</v>
      </c>
      <c r="E136" s="487">
        <v>1.5</v>
      </c>
      <c r="F136" s="487"/>
      <c r="G136" s="487">
        <f>PI()*(D136/2)^2*E136*C136</f>
        <v>0.84823001646924423</v>
      </c>
      <c r="H136" s="481"/>
      <c r="I136" s="481"/>
      <c r="J136" s="481"/>
      <c r="K136" s="481"/>
      <c r="L136" s="481"/>
      <c r="M136" s="481"/>
      <c r="N136" s="481"/>
      <c r="O136" s="481"/>
    </row>
    <row r="137" spans="1:15" ht="13">
      <c r="A137" s="481"/>
      <c r="B137" s="481"/>
      <c r="C137" s="481"/>
      <c r="D137" s="481"/>
      <c r="E137" s="481"/>
      <c r="F137" s="488" t="s">
        <v>406</v>
      </c>
      <c r="G137" s="487">
        <f>SUM(G136:G136)</f>
        <v>0.84823001646924423</v>
      </c>
      <c r="H137" s="481"/>
      <c r="I137" s="481"/>
      <c r="J137" s="481"/>
      <c r="K137" s="481"/>
      <c r="L137" s="481"/>
      <c r="M137" s="481"/>
      <c r="N137" s="481"/>
      <c r="O137" s="481"/>
    </row>
    <row r="138" spans="1:15">
      <c r="A138" s="481"/>
      <c r="B138" s="481"/>
      <c r="C138" s="481"/>
      <c r="D138" s="481"/>
      <c r="E138" s="481"/>
      <c r="F138" s="481"/>
      <c r="G138" s="481"/>
      <c r="H138" s="481"/>
      <c r="I138" s="481"/>
      <c r="J138" s="481"/>
      <c r="K138" s="481"/>
      <c r="L138" s="481"/>
      <c r="M138" s="481"/>
      <c r="N138" s="481"/>
      <c r="O138" s="481"/>
    </row>
    <row r="139" spans="1:15" ht="13">
      <c r="A139" s="481"/>
      <c r="B139" s="485" t="s">
        <v>400</v>
      </c>
      <c r="C139" s="487">
        <f>$G$137*G140</f>
        <v>296.88050576423547</v>
      </c>
      <c r="D139" s="487"/>
      <c r="E139" s="487"/>
      <c r="F139" s="560" t="s">
        <v>407</v>
      </c>
      <c r="G139" s="561"/>
      <c r="H139" s="481"/>
      <c r="I139" s="481"/>
      <c r="J139" s="481"/>
      <c r="K139" s="481"/>
      <c r="L139" s="481"/>
      <c r="M139" s="481"/>
      <c r="N139" s="481"/>
      <c r="O139" s="481"/>
    </row>
    <row r="140" spans="1:15" ht="14">
      <c r="A140" s="481"/>
      <c r="B140" s="485" t="s">
        <v>402</v>
      </c>
      <c r="C140" s="487">
        <f t="shared" ref="C140:C142" si="7">$G$137*G141</f>
        <v>0.47500880922277683</v>
      </c>
      <c r="D140" s="487"/>
      <c r="E140" s="487"/>
      <c r="F140" s="492" t="s">
        <v>400</v>
      </c>
      <c r="G140" s="493">
        <v>350</v>
      </c>
      <c r="H140" s="481"/>
      <c r="I140" s="481"/>
      <c r="J140" s="481"/>
      <c r="K140" s="481"/>
      <c r="L140" s="481"/>
      <c r="M140" s="481"/>
      <c r="N140" s="481"/>
      <c r="O140" s="481"/>
    </row>
    <row r="141" spans="1:15" ht="14">
      <c r="A141" s="481"/>
      <c r="B141" s="485" t="s">
        <v>403</v>
      </c>
      <c r="C141" s="487">
        <f t="shared" si="7"/>
        <v>0.7125132138341651</v>
      </c>
      <c r="D141" s="487"/>
      <c r="E141" s="487"/>
      <c r="F141" s="492" t="s">
        <v>402</v>
      </c>
      <c r="G141" s="493">
        <v>0.56000000000000005</v>
      </c>
      <c r="H141" s="481"/>
      <c r="I141" s="481"/>
      <c r="J141" s="481"/>
      <c r="K141" s="481"/>
      <c r="L141" s="481"/>
      <c r="M141" s="481"/>
      <c r="N141" s="481"/>
      <c r="O141" s="481"/>
    </row>
    <row r="142" spans="1:15" ht="14">
      <c r="A142" s="481"/>
      <c r="B142" s="485" t="s">
        <v>404</v>
      </c>
      <c r="C142" s="487">
        <f t="shared" si="7"/>
        <v>212.05750411731105</v>
      </c>
      <c r="D142" s="487"/>
      <c r="E142" s="487"/>
      <c r="F142" s="492" t="s">
        <v>403</v>
      </c>
      <c r="G142" s="493">
        <v>0.84</v>
      </c>
      <c r="H142" s="481"/>
      <c r="I142" s="481"/>
      <c r="J142" s="481"/>
      <c r="K142" s="481"/>
      <c r="L142" s="481"/>
      <c r="M142" s="481"/>
      <c r="N142" s="481"/>
      <c r="O142" s="481"/>
    </row>
    <row r="143" spans="1:15" ht="13">
      <c r="A143" s="481"/>
      <c r="B143" s="485"/>
      <c r="C143" s="487"/>
      <c r="D143" s="487"/>
      <c r="E143" s="487"/>
      <c r="F143" s="494" t="s">
        <v>404</v>
      </c>
      <c r="G143" s="495">
        <v>250</v>
      </c>
      <c r="H143" s="481"/>
      <c r="I143" s="481"/>
      <c r="J143" s="481"/>
      <c r="K143" s="481"/>
      <c r="L143" s="481"/>
      <c r="M143" s="481"/>
      <c r="N143" s="481"/>
      <c r="O143" s="481"/>
    </row>
    <row r="144" spans="1:15" ht="13">
      <c r="A144" s="481"/>
      <c r="B144" s="485"/>
      <c r="C144" s="487"/>
      <c r="D144" s="487"/>
      <c r="E144" s="487"/>
      <c r="F144" s="497"/>
      <c r="G144" s="498"/>
      <c r="H144" s="481"/>
      <c r="I144" s="481"/>
      <c r="J144" s="481"/>
      <c r="K144" s="481"/>
      <c r="L144" s="481"/>
      <c r="M144" s="481"/>
      <c r="N144" s="481"/>
      <c r="O144" s="481"/>
    </row>
    <row r="145" spans="1:15" ht="13">
      <c r="A145" s="481"/>
      <c r="B145" s="484" t="s">
        <v>451</v>
      </c>
      <c r="C145" s="481"/>
      <c r="D145" s="481"/>
      <c r="E145" s="481"/>
      <c r="F145" s="481"/>
      <c r="G145" s="481"/>
      <c r="H145" s="481"/>
      <c r="I145" s="481"/>
      <c r="J145" s="481"/>
      <c r="K145" s="481"/>
      <c r="L145" s="481"/>
      <c r="M145" s="481"/>
      <c r="N145" s="481"/>
      <c r="O145" s="481"/>
    </row>
    <row r="146" spans="1:15" ht="13">
      <c r="A146" s="481"/>
      <c r="B146" s="481"/>
      <c r="C146" s="487" t="s">
        <v>426</v>
      </c>
      <c r="D146" s="487" t="s">
        <v>452</v>
      </c>
      <c r="E146" s="487" t="s">
        <v>453</v>
      </c>
      <c r="F146" s="487" t="s">
        <v>454</v>
      </c>
      <c r="G146" s="487" t="s">
        <v>48</v>
      </c>
      <c r="H146" s="487" t="s">
        <v>455</v>
      </c>
      <c r="I146" s="481"/>
      <c r="J146" s="481"/>
      <c r="K146" s="481"/>
      <c r="L146" s="481"/>
      <c r="M146" s="481"/>
      <c r="N146" s="481"/>
      <c r="O146" s="481"/>
    </row>
    <row r="147" spans="1:15" ht="13">
      <c r="A147" s="481"/>
      <c r="B147" s="485" t="s">
        <v>456</v>
      </c>
      <c r="C147" s="487">
        <v>3</v>
      </c>
      <c r="D147" s="487">
        <v>4</v>
      </c>
      <c r="E147" s="487">
        <v>0.99399999999999999</v>
      </c>
      <c r="F147" s="487">
        <v>6.9</v>
      </c>
      <c r="G147" s="487">
        <v>2</v>
      </c>
      <c r="H147" s="487">
        <f>+C147*E147*F147*G147</f>
        <v>41.151600000000002</v>
      </c>
      <c r="I147" s="481"/>
      <c r="J147" s="481"/>
      <c r="K147" s="481"/>
      <c r="L147" s="481"/>
      <c r="M147" s="481"/>
      <c r="N147" s="481"/>
      <c r="O147" s="481"/>
    </row>
    <row r="148" spans="1:15" ht="13">
      <c r="A148" s="481"/>
      <c r="B148" s="485" t="s">
        <v>457</v>
      </c>
      <c r="C148" s="487">
        <v>3</v>
      </c>
      <c r="D148" s="487">
        <v>4</v>
      </c>
      <c r="E148" s="487">
        <v>0.99399999999999999</v>
      </c>
      <c r="F148" s="487">
        <v>6.9</v>
      </c>
      <c r="G148" s="487">
        <v>2</v>
      </c>
      <c r="H148" s="487">
        <f t="shared" ref="H148:H149" si="8">+C148*E148*F148*G148</f>
        <v>41.151600000000002</v>
      </c>
      <c r="I148" s="481"/>
      <c r="J148" s="481"/>
      <c r="K148" s="481"/>
      <c r="L148" s="481"/>
      <c r="M148" s="481"/>
      <c r="N148" s="481"/>
      <c r="O148" s="481"/>
    </row>
    <row r="149" spans="1:15" ht="13">
      <c r="A149" s="481"/>
      <c r="B149" s="485" t="s">
        <v>458</v>
      </c>
      <c r="C149" s="487">
        <v>3</v>
      </c>
      <c r="D149" s="487">
        <v>3</v>
      </c>
      <c r="E149" s="487">
        <v>0.56000000000000005</v>
      </c>
      <c r="F149" s="487">
        <v>0.75</v>
      </c>
      <c r="G149" s="487">
        <f>(10+19+10)*2</f>
        <v>78</v>
      </c>
      <c r="H149" s="487">
        <f t="shared" si="8"/>
        <v>98.280000000000015</v>
      </c>
      <c r="I149" s="481"/>
      <c r="J149" s="481"/>
      <c r="K149" s="481"/>
      <c r="L149" s="481"/>
      <c r="M149" s="481"/>
      <c r="N149" s="481"/>
      <c r="O149" s="481"/>
    </row>
    <row r="150" spans="1:15" ht="13">
      <c r="A150" s="481"/>
      <c r="B150" s="485" t="s">
        <v>459</v>
      </c>
      <c r="C150" s="487">
        <v>3</v>
      </c>
      <c r="D150" s="487">
        <v>4</v>
      </c>
      <c r="E150" s="487">
        <v>0.99399999999999999</v>
      </c>
      <c r="F150" s="487">
        <v>4.91</v>
      </c>
      <c r="G150" s="487">
        <v>2</v>
      </c>
      <c r="H150" s="487">
        <f>+C150*E150*F150*G150</f>
        <v>29.283240000000003</v>
      </c>
      <c r="I150" s="481"/>
      <c r="J150" s="481"/>
      <c r="K150" s="481"/>
      <c r="L150" s="481"/>
      <c r="M150" s="481"/>
      <c r="N150" s="481"/>
      <c r="O150" s="481"/>
    </row>
    <row r="151" spans="1:15" ht="13">
      <c r="A151" s="481"/>
      <c r="B151" s="485" t="s">
        <v>460</v>
      </c>
      <c r="C151" s="487">
        <v>3</v>
      </c>
      <c r="D151" s="487">
        <v>4</v>
      </c>
      <c r="E151" s="487">
        <v>0.99399999999999999</v>
      </c>
      <c r="F151" s="487">
        <v>4.91</v>
      </c>
      <c r="G151" s="487">
        <v>2</v>
      </c>
      <c r="H151" s="487">
        <f t="shared" ref="H151:H152" si="9">+C151*E151*F151*G151</f>
        <v>29.283240000000003</v>
      </c>
      <c r="I151" s="481"/>
      <c r="J151" s="481"/>
      <c r="K151" s="481"/>
      <c r="L151" s="481"/>
      <c r="M151" s="481"/>
      <c r="N151" s="481"/>
      <c r="O151" s="481"/>
    </row>
    <row r="152" spans="1:15" ht="13">
      <c r="A152" s="481"/>
      <c r="B152" s="485" t="s">
        <v>461</v>
      </c>
      <c r="C152" s="487">
        <v>3</v>
      </c>
      <c r="D152" s="487">
        <v>3</v>
      </c>
      <c r="E152" s="487">
        <v>0.56000000000000005</v>
      </c>
      <c r="F152" s="487">
        <v>0.75</v>
      </c>
      <c r="G152" s="487">
        <f>(10+10+10)*2</f>
        <v>60</v>
      </c>
      <c r="H152" s="487">
        <f t="shared" si="9"/>
        <v>75.600000000000009</v>
      </c>
      <c r="I152" s="481"/>
      <c r="J152" s="481"/>
      <c r="K152" s="481"/>
      <c r="L152" s="481"/>
      <c r="M152" s="481"/>
      <c r="N152" s="481"/>
      <c r="O152" s="481"/>
    </row>
    <row r="153" spans="1:15" ht="13">
      <c r="A153" s="481"/>
      <c r="B153" s="485" t="s">
        <v>462</v>
      </c>
      <c r="C153" s="487">
        <v>1</v>
      </c>
      <c r="D153" s="487">
        <v>3</v>
      </c>
      <c r="E153" s="487">
        <v>0.56000000000000005</v>
      </c>
      <c r="F153" s="487">
        <v>7.25</v>
      </c>
      <c r="G153" s="487">
        <f>5/0.2+1</f>
        <v>26</v>
      </c>
      <c r="H153" s="487">
        <f>+C153*E153*F153*G153</f>
        <v>105.56000000000002</v>
      </c>
      <c r="I153" s="481"/>
      <c r="J153" s="481"/>
      <c r="K153" s="481"/>
      <c r="L153" s="481"/>
      <c r="M153" s="481"/>
      <c r="N153" s="481"/>
      <c r="O153" s="481"/>
    </row>
    <row r="154" spans="1:15" ht="13">
      <c r="A154" s="481"/>
      <c r="B154" s="485" t="s">
        <v>463</v>
      </c>
      <c r="C154" s="487">
        <v>1</v>
      </c>
      <c r="D154" s="487">
        <v>3</v>
      </c>
      <c r="E154" s="487">
        <v>0.56000000000000005</v>
      </c>
      <c r="F154" s="487">
        <v>5.25</v>
      </c>
      <c r="G154" s="487">
        <f>7/0.2+1</f>
        <v>36</v>
      </c>
      <c r="H154" s="487">
        <f>+C154*E154*F154*G154</f>
        <v>105.84000000000002</v>
      </c>
      <c r="I154" s="481"/>
      <c r="J154" s="481"/>
      <c r="K154" s="481"/>
      <c r="L154" s="481"/>
      <c r="M154" s="481"/>
      <c r="N154" s="481"/>
      <c r="O154" s="481"/>
    </row>
    <row r="155" spans="1:15" ht="13">
      <c r="A155" s="481"/>
      <c r="B155" s="485" t="s">
        <v>464</v>
      </c>
      <c r="C155" s="487">
        <v>1</v>
      </c>
      <c r="D155" s="487">
        <v>3</v>
      </c>
      <c r="E155" s="487">
        <v>0.56000000000000005</v>
      </c>
      <c r="F155" s="487">
        <v>7.25</v>
      </c>
      <c r="G155" s="487">
        <f>5/0.2+1</f>
        <v>26</v>
      </c>
      <c r="H155" s="487">
        <f>+C155*E155*F155*G155</f>
        <v>105.56000000000002</v>
      </c>
      <c r="I155" s="481"/>
      <c r="J155" s="481"/>
      <c r="K155" s="481"/>
      <c r="L155" s="481"/>
      <c r="M155" s="481"/>
      <c r="N155" s="481"/>
      <c r="O155" s="481"/>
    </row>
    <row r="156" spans="1:15" ht="13">
      <c r="A156" s="481"/>
      <c r="B156" s="485" t="s">
        <v>465</v>
      </c>
      <c r="C156" s="487">
        <v>1</v>
      </c>
      <c r="D156" s="487">
        <v>3</v>
      </c>
      <c r="E156" s="487">
        <v>0.56000000000000005</v>
      </c>
      <c r="F156" s="487">
        <v>5.25</v>
      </c>
      <c r="G156" s="487">
        <f>7/0.2+1</f>
        <v>36</v>
      </c>
      <c r="H156" s="487">
        <f>+C156*E156*F156*G156</f>
        <v>105.84000000000002</v>
      </c>
      <c r="I156" s="481"/>
      <c r="J156" s="481"/>
      <c r="K156" s="481"/>
      <c r="L156" s="481"/>
      <c r="M156" s="481"/>
      <c r="N156" s="481"/>
      <c r="O156" s="481"/>
    </row>
    <row r="157" spans="1:15" ht="13">
      <c r="A157" s="481"/>
      <c r="B157" s="485" t="s">
        <v>466</v>
      </c>
      <c r="C157" s="487">
        <v>2</v>
      </c>
      <c r="D157" s="487">
        <v>3</v>
      </c>
      <c r="E157" s="487">
        <v>0.56000000000000005</v>
      </c>
      <c r="F157" s="487">
        <f>21.85+ROUNDUP(21.85/6,0)*0.6</f>
        <v>24.25</v>
      </c>
      <c r="G157" s="487">
        <v>4</v>
      </c>
      <c r="H157" s="487">
        <f t="shared" ref="H157:H160" si="10">+C157*E157*F157*G157</f>
        <v>108.64000000000001</v>
      </c>
      <c r="I157" s="481"/>
      <c r="J157" s="481"/>
      <c r="K157" s="481"/>
      <c r="L157" s="481"/>
      <c r="M157" s="481"/>
      <c r="N157" s="481"/>
      <c r="O157" s="481"/>
    </row>
    <row r="158" spans="1:15" ht="13">
      <c r="A158" s="481"/>
      <c r="B158" s="481"/>
      <c r="C158" s="487">
        <v>2</v>
      </c>
      <c r="D158" s="487">
        <v>3</v>
      </c>
      <c r="E158" s="487">
        <v>0.56000000000000005</v>
      </c>
      <c r="F158" s="487">
        <f>11+ROUNDUP(11/6,0)*0.6</f>
        <v>12.2</v>
      </c>
      <c r="G158" s="487">
        <v>4</v>
      </c>
      <c r="H158" s="487">
        <f t="shared" si="10"/>
        <v>54.655999999999999</v>
      </c>
      <c r="I158" s="481"/>
      <c r="J158" s="481"/>
      <c r="K158" s="481"/>
      <c r="L158" s="481"/>
      <c r="M158" s="481"/>
      <c r="N158" s="481"/>
      <c r="O158" s="481"/>
    </row>
    <row r="159" spans="1:15" ht="13">
      <c r="A159" s="481"/>
      <c r="B159" s="485" t="s">
        <v>467</v>
      </c>
      <c r="C159" s="487">
        <v>2</v>
      </c>
      <c r="D159" s="487">
        <v>2</v>
      </c>
      <c r="E159" s="487">
        <v>0.25</v>
      </c>
      <c r="F159" s="487">
        <v>0.76</v>
      </c>
      <c r="G159" s="487">
        <f>+ROUNDUP(D118/0.15,0)+1</f>
        <v>147</v>
      </c>
      <c r="H159" s="487">
        <f t="shared" si="10"/>
        <v>55.86</v>
      </c>
      <c r="I159" s="481"/>
      <c r="J159" s="481"/>
      <c r="K159" s="481"/>
      <c r="L159" s="481"/>
      <c r="M159" s="481"/>
      <c r="N159" s="481"/>
      <c r="O159" s="481"/>
    </row>
    <row r="160" spans="1:15" ht="13">
      <c r="A160" s="481"/>
      <c r="B160" s="481"/>
      <c r="C160" s="487">
        <v>2</v>
      </c>
      <c r="D160" s="487">
        <v>2</v>
      </c>
      <c r="E160" s="487">
        <v>0.25</v>
      </c>
      <c r="F160" s="487">
        <v>0.76</v>
      </c>
      <c r="G160" s="487">
        <f>+ROUNDUP(D119/0.15,0)+1</f>
        <v>75</v>
      </c>
      <c r="H160" s="487">
        <f t="shared" si="10"/>
        <v>28.5</v>
      </c>
      <c r="I160" s="481"/>
      <c r="J160" s="481"/>
      <c r="K160" s="481"/>
      <c r="L160" s="481"/>
      <c r="M160" s="481"/>
      <c r="N160" s="481"/>
      <c r="O160" s="481"/>
    </row>
    <row r="161" spans="1:15" ht="13">
      <c r="A161" s="481"/>
      <c r="B161" s="481"/>
      <c r="C161" s="481"/>
      <c r="D161" s="481"/>
      <c r="E161" s="481"/>
      <c r="F161" s="481"/>
      <c r="G161" s="488" t="s">
        <v>406</v>
      </c>
      <c r="H161" s="487">
        <f>SUM(H147:H160)</f>
        <v>985.20568000000014</v>
      </c>
      <c r="I161" s="481"/>
      <c r="J161" s="481"/>
      <c r="K161" s="481"/>
      <c r="L161" s="481"/>
      <c r="M161" s="481"/>
      <c r="N161" s="481"/>
      <c r="O161" s="481"/>
    </row>
    <row r="162" spans="1:15" ht="13">
      <c r="A162" s="481"/>
      <c r="B162" s="481"/>
      <c r="C162" s="481"/>
      <c r="D162" s="481"/>
      <c r="E162" s="481"/>
      <c r="F162" s="481"/>
      <c r="G162" s="487"/>
      <c r="H162" s="481"/>
      <c r="I162" s="481"/>
      <c r="J162" s="481"/>
      <c r="K162" s="481"/>
      <c r="L162" s="481"/>
      <c r="M162" s="481"/>
      <c r="N162" s="481"/>
      <c r="O162" s="481"/>
    </row>
    <row r="163" spans="1:15" ht="13">
      <c r="A163" s="481"/>
      <c r="B163" s="484" t="s">
        <v>468</v>
      </c>
      <c r="C163" s="481"/>
      <c r="D163" s="481"/>
      <c r="E163" s="481"/>
      <c r="F163" s="481"/>
      <c r="G163" s="487"/>
      <c r="H163" s="481"/>
      <c r="I163" s="481"/>
      <c r="J163" s="481"/>
      <c r="K163" s="481"/>
      <c r="L163" s="481"/>
      <c r="M163" s="481"/>
      <c r="N163" s="481"/>
      <c r="O163" s="481"/>
    </row>
    <row r="164" spans="1:15" ht="15">
      <c r="A164" s="481"/>
      <c r="B164" s="481"/>
      <c r="C164" s="485" t="s">
        <v>426</v>
      </c>
      <c r="D164" s="485" t="s">
        <v>396</v>
      </c>
      <c r="E164" s="485" t="s">
        <v>415</v>
      </c>
      <c r="F164" s="485" t="s">
        <v>427</v>
      </c>
      <c r="G164" s="481"/>
      <c r="H164" s="481"/>
      <c r="I164" s="481"/>
      <c r="J164" s="481"/>
      <c r="K164" s="481"/>
      <c r="L164" s="481"/>
      <c r="M164" s="481"/>
      <c r="N164" s="481"/>
      <c r="O164" s="481"/>
    </row>
    <row r="165" spans="1:15" ht="13">
      <c r="A165" s="481"/>
      <c r="B165" s="486" t="s">
        <v>428</v>
      </c>
      <c r="C165" s="487">
        <v>1</v>
      </c>
      <c r="D165" s="487">
        <v>3.52</v>
      </c>
      <c r="E165" s="487">
        <v>5.97</v>
      </c>
      <c r="F165" s="487">
        <f>+C165*D165*E165</f>
        <v>21.014399999999998</v>
      </c>
      <c r="G165" s="481"/>
      <c r="H165" s="481"/>
      <c r="I165" s="481"/>
      <c r="J165" s="481"/>
      <c r="K165" s="481"/>
      <c r="L165" s="481"/>
      <c r="M165" s="481"/>
      <c r="N165" s="481"/>
      <c r="O165" s="481"/>
    </row>
    <row r="166" spans="1:15">
      <c r="A166" s="481"/>
      <c r="B166" s="481"/>
      <c r="C166" s="481"/>
      <c r="D166" s="481"/>
      <c r="E166" s="481"/>
      <c r="F166" s="481"/>
      <c r="G166" s="481"/>
      <c r="H166" s="481"/>
      <c r="I166" s="481"/>
      <c r="J166" s="481"/>
      <c r="K166" s="481"/>
      <c r="L166" s="481"/>
      <c r="M166" s="481"/>
      <c r="N166" s="481"/>
      <c r="O166" s="481"/>
    </row>
    <row r="167" spans="1:15" ht="13">
      <c r="A167" s="481"/>
      <c r="B167" s="484" t="s">
        <v>469</v>
      </c>
      <c r="C167" s="481"/>
      <c r="D167" s="481"/>
      <c r="E167" s="481"/>
      <c r="F167" s="481"/>
      <c r="G167" s="481"/>
      <c r="H167" s="481"/>
      <c r="I167" s="481"/>
      <c r="J167" s="481"/>
      <c r="K167" s="481"/>
      <c r="L167" s="481"/>
      <c r="M167" s="481"/>
      <c r="N167" s="481"/>
      <c r="O167" s="481"/>
    </row>
    <row r="168" spans="1:15" ht="13">
      <c r="A168" s="481"/>
      <c r="B168" s="499" t="s">
        <v>470</v>
      </c>
      <c r="C168" s="481"/>
      <c r="D168" s="481"/>
      <c r="E168" s="481"/>
      <c r="F168" s="481"/>
      <c r="G168" s="481"/>
      <c r="H168" s="481"/>
      <c r="I168" s="481"/>
      <c r="J168" s="481"/>
      <c r="K168" s="481"/>
      <c r="L168" s="481"/>
      <c r="M168" s="481"/>
      <c r="N168" s="481"/>
      <c r="O168" s="481"/>
    </row>
    <row r="169" spans="1:15" ht="13">
      <c r="A169" s="481"/>
      <c r="B169" s="481"/>
      <c r="C169" s="485" t="s">
        <v>426</v>
      </c>
      <c r="D169" s="485" t="s">
        <v>415</v>
      </c>
      <c r="E169" s="485" t="s">
        <v>471</v>
      </c>
      <c r="F169" s="485" t="s">
        <v>472</v>
      </c>
      <c r="G169" s="481"/>
      <c r="H169" s="481"/>
      <c r="I169" s="481"/>
      <c r="J169" s="481"/>
      <c r="K169" s="481"/>
      <c r="L169" s="481"/>
      <c r="M169" s="481"/>
      <c r="N169" s="481"/>
      <c r="O169" s="481"/>
    </row>
    <row r="170" spans="1:15" ht="26">
      <c r="A170" s="481"/>
      <c r="B170" s="500" t="s">
        <v>473</v>
      </c>
      <c r="C170" s="487">
        <v>4</v>
      </c>
      <c r="D170" s="487">
        <v>2</v>
      </c>
      <c r="E170" s="487">
        <v>4.51</v>
      </c>
      <c r="F170" s="501">
        <f>+C170*D170*E170</f>
        <v>36.08</v>
      </c>
      <c r="G170" s="481"/>
      <c r="H170" s="481"/>
      <c r="I170" s="481"/>
      <c r="J170" s="481"/>
      <c r="K170" s="481"/>
      <c r="L170" s="481"/>
      <c r="M170" s="481"/>
      <c r="N170" s="481"/>
      <c r="O170" s="481"/>
    </row>
    <row r="171" spans="1:15" ht="26">
      <c r="A171" s="481"/>
      <c r="B171" s="500" t="s">
        <v>473</v>
      </c>
      <c r="C171" s="487">
        <v>9</v>
      </c>
      <c r="D171" s="487">
        <v>1</v>
      </c>
      <c r="E171" s="487">
        <v>4.51</v>
      </c>
      <c r="F171" s="501">
        <f>+C171*D171*E171</f>
        <v>40.589999999999996</v>
      </c>
      <c r="G171" s="481"/>
      <c r="H171" s="481"/>
      <c r="I171" s="481"/>
      <c r="J171" s="481"/>
      <c r="K171" s="481"/>
      <c r="L171" s="481"/>
      <c r="M171" s="481"/>
      <c r="N171" s="481"/>
      <c r="O171" s="481"/>
    </row>
    <row r="172" spans="1:15" ht="26">
      <c r="A172" s="481"/>
      <c r="B172" s="500" t="s">
        <v>474</v>
      </c>
      <c r="C172" s="487">
        <f>4*0.2*0.2</f>
        <v>0.16000000000000003</v>
      </c>
      <c r="D172" s="487">
        <v>4.0000000000000001E-3</v>
      </c>
      <c r="E172" s="487">
        <v>7850</v>
      </c>
      <c r="F172" s="501">
        <f t="shared" ref="F172" si="11">+C172*D172*E172</f>
        <v>5.0240000000000009</v>
      </c>
      <c r="G172" s="481"/>
      <c r="H172" s="481"/>
      <c r="I172" s="481"/>
      <c r="J172" s="481"/>
      <c r="K172" s="481"/>
      <c r="L172" s="481"/>
      <c r="M172" s="481"/>
      <c r="N172" s="481"/>
      <c r="O172" s="481"/>
    </row>
    <row r="173" spans="1:15" ht="26">
      <c r="A173" s="481"/>
      <c r="B173" s="500" t="s">
        <v>422</v>
      </c>
      <c r="C173" s="487">
        <v>16</v>
      </c>
      <c r="D173" s="487">
        <f>8*0.0254</f>
        <v>0.20319999999999999</v>
      </c>
      <c r="E173" s="487">
        <v>0.55600000000000005</v>
      </c>
      <c r="F173" s="501">
        <f>+D173*C173*E173</f>
        <v>1.8076672</v>
      </c>
      <c r="G173" s="481"/>
      <c r="H173" s="481"/>
      <c r="I173" s="481"/>
      <c r="J173" s="481"/>
      <c r="K173" s="481"/>
      <c r="L173" s="481"/>
      <c r="M173" s="481"/>
      <c r="N173" s="481"/>
      <c r="O173" s="481"/>
    </row>
    <row r="174" spans="1:15" ht="13">
      <c r="A174" s="481"/>
      <c r="B174" s="499" t="s">
        <v>475</v>
      </c>
      <c r="C174" s="481"/>
      <c r="D174" s="481"/>
      <c r="E174" s="481"/>
      <c r="F174" s="501"/>
      <c r="G174" s="481"/>
      <c r="H174" s="481"/>
      <c r="I174" s="481"/>
      <c r="J174" s="481"/>
      <c r="K174" s="481"/>
      <c r="L174" s="481"/>
      <c r="M174" s="481"/>
      <c r="N174" s="481"/>
      <c r="O174" s="481"/>
    </row>
    <row r="175" spans="1:15" ht="26">
      <c r="A175" s="481"/>
      <c r="B175" s="500" t="s">
        <v>476</v>
      </c>
      <c r="C175" s="487">
        <v>4</v>
      </c>
      <c r="D175" s="487">
        <v>3.2</v>
      </c>
      <c r="E175" s="487">
        <v>4.8499999999999996</v>
      </c>
      <c r="F175" s="501">
        <f>+C175*D175*E175</f>
        <v>62.08</v>
      </c>
      <c r="G175" s="481"/>
      <c r="H175" s="481"/>
      <c r="I175" s="481"/>
      <c r="J175" s="481"/>
      <c r="K175" s="481"/>
      <c r="L175" s="481"/>
      <c r="M175" s="481"/>
      <c r="N175" s="481"/>
      <c r="O175" s="481"/>
    </row>
    <row r="176" spans="1:15" ht="26">
      <c r="A176" s="481"/>
      <c r="B176" s="500" t="s">
        <v>477</v>
      </c>
      <c r="C176" s="487">
        <v>4</v>
      </c>
      <c r="D176" s="487">
        <v>2.5</v>
      </c>
      <c r="E176" s="487">
        <v>4.8499999999999996</v>
      </c>
      <c r="F176" s="501">
        <f>+C176*D176*E176</f>
        <v>48.5</v>
      </c>
      <c r="G176" s="481"/>
      <c r="H176" s="481"/>
      <c r="I176" s="481"/>
      <c r="J176" s="481"/>
      <c r="K176" s="481"/>
      <c r="L176" s="481"/>
      <c r="M176" s="481"/>
      <c r="N176" s="481"/>
      <c r="O176" s="481"/>
    </row>
    <row r="177" spans="1:15" ht="26">
      <c r="A177" s="481"/>
      <c r="B177" s="500" t="s">
        <v>478</v>
      </c>
      <c r="C177" s="487">
        <v>4</v>
      </c>
      <c r="D177" s="487">
        <v>1.5</v>
      </c>
      <c r="E177" s="487">
        <v>3.36</v>
      </c>
      <c r="F177" s="501">
        <f>+C177*D177*E177</f>
        <v>20.16</v>
      </c>
      <c r="G177" s="481"/>
      <c r="H177" s="481"/>
      <c r="I177" s="481"/>
      <c r="J177" s="481"/>
      <c r="K177" s="481"/>
      <c r="L177" s="481"/>
      <c r="M177" s="481"/>
      <c r="N177" s="481"/>
      <c r="O177" s="481"/>
    </row>
    <row r="178" spans="1:15" ht="26">
      <c r="A178" s="481"/>
      <c r="B178" s="500" t="s">
        <v>479</v>
      </c>
      <c r="C178" s="487">
        <v>4</v>
      </c>
      <c r="D178" s="487">
        <v>6.46</v>
      </c>
      <c r="E178" s="487">
        <v>4.91</v>
      </c>
      <c r="F178" s="501">
        <f t="shared" ref="F178" si="12">+C178*D178*E178</f>
        <v>126.87440000000001</v>
      </c>
      <c r="G178" s="481"/>
      <c r="H178" s="481"/>
      <c r="I178" s="481"/>
      <c r="J178" s="481"/>
      <c r="K178" s="481"/>
      <c r="L178" s="481"/>
      <c r="M178" s="481"/>
      <c r="N178" s="481"/>
      <c r="O178" s="481"/>
    </row>
    <row r="179" spans="1:15" ht="26">
      <c r="A179" s="481"/>
      <c r="B179" s="500" t="s">
        <v>480</v>
      </c>
      <c r="C179" s="487">
        <v>4</v>
      </c>
      <c r="D179" s="487">
        <v>11.88</v>
      </c>
      <c r="E179" s="487">
        <v>3.36</v>
      </c>
      <c r="F179" s="501">
        <f>+D179*C179*E179</f>
        <v>159.66720000000001</v>
      </c>
      <c r="G179" s="481"/>
      <c r="H179" s="481"/>
      <c r="I179" s="481"/>
      <c r="J179" s="481"/>
      <c r="K179" s="481"/>
      <c r="L179" s="481"/>
      <c r="M179" s="481"/>
      <c r="N179" s="481"/>
      <c r="O179" s="481"/>
    </row>
    <row r="180" spans="1:15" ht="26">
      <c r="A180" s="481"/>
      <c r="B180" s="500" t="s">
        <v>480</v>
      </c>
      <c r="C180" s="487">
        <v>2</v>
      </c>
      <c r="D180" s="487">
        <v>13.16</v>
      </c>
      <c r="E180" s="487">
        <v>3.36</v>
      </c>
      <c r="F180" s="501">
        <f>+D180*C180*E180</f>
        <v>88.435199999999995</v>
      </c>
      <c r="G180" s="481"/>
      <c r="H180" s="481"/>
      <c r="I180" s="481"/>
      <c r="J180" s="481"/>
      <c r="K180" s="481"/>
      <c r="L180" s="481"/>
      <c r="M180" s="481"/>
      <c r="N180" s="481"/>
      <c r="O180" s="481"/>
    </row>
    <row r="181" spans="1:15" ht="26">
      <c r="A181" s="481"/>
      <c r="B181" s="500" t="s">
        <v>481</v>
      </c>
      <c r="C181" s="487">
        <v>6</v>
      </c>
      <c r="D181" s="487">
        <v>0.4</v>
      </c>
      <c r="E181" s="487">
        <v>3.36</v>
      </c>
      <c r="F181" s="501">
        <f>+D181*C181*E181</f>
        <v>8.0640000000000001</v>
      </c>
      <c r="G181" s="481"/>
      <c r="H181" s="481"/>
      <c r="I181" s="481"/>
      <c r="J181" s="481"/>
      <c r="K181" s="481"/>
      <c r="L181" s="481"/>
      <c r="M181" s="481"/>
      <c r="N181" s="481"/>
      <c r="O181" s="481"/>
    </row>
    <row r="182" spans="1:15" ht="29.5" customHeight="1">
      <c r="A182" s="481"/>
      <c r="B182" s="500" t="s">
        <v>482</v>
      </c>
      <c r="C182" s="487">
        <f>4*(0.2+0.1)/2*0.2</f>
        <v>0.12000000000000002</v>
      </c>
      <c r="D182" s="487">
        <v>4.0000000000000001E-3</v>
      </c>
      <c r="E182" s="487">
        <v>7850</v>
      </c>
      <c r="F182" s="501">
        <f t="shared" ref="F182:F183" si="13">+C182*D182*E182</f>
        <v>3.7680000000000011</v>
      </c>
      <c r="G182" s="481"/>
      <c r="H182" s="481"/>
      <c r="I182" s="481"/>
      <c r="J182" s="481"/>
      <c r="K182" s="481"/>
      <c r="L182" s="481"/>
      <c r="M182" s="481"/>
      <c r="N182" s="481"/>
      <c r="O182" s="481"/>
    </row>
    <row r="183" spans="1:15" ht="26">
      <c r="A183" s="481"/>
      <c r="B183" s="500" t="s">
        <v>423</v>
      </c>
      <c r="C183" s="487">
        <f>4*(2*2+4+6)+8*6</f>
        <v>104</v>
      </c>
      <c r="D183" s="487">
        <f>1.5*0.0254</f>
        <v>3.8099999999999995E-2</v>
      </c>
      <c r="E183" s="487">
        <v>0.99399999999999999</v>
      </c>
      <c r="F183" s="501">
        <f t="shared" si="13"/>
        <v>3.9386255999999995</v>
      </c>
      <c r="G183" s="481"/>
      <c r="H183" s="481"/>
      <c r="I183" s="481"/>
      <c r="J183" s="481"/>
      <c r="K183" s="481"/>
      <c r="L183" s="481"/>
      <c r="M183" s="481"/>
      <c r="N183" s="481"/>
      <c r="O183" s="481"/>
    </row>
    <row r="184" spans="1:15" ht="13">
      <c r="A184" s="481"/>
      <c r="B184" s="481"/>
      <c r="C184" s="481"/>
      <c r="D184" s="481"/>
      <c r="E184" s="488" t="s">
        <v>406</v>
      </c>
      <c r="F184" s="501">
        <f>SUM(F170:F183)</f>
        <v>604.98909279999998</v>
      </c>
      <c r="G184" s="481"/>
      <c r="H184" s="481"/>
      <c r="I184" s="481"/>
      <c r="J184" s="481"/>
      <c r="K184" s="481"/>
      <c r="L184" s="481"/>
      <c r="M184" s="481"/>
      <c r="N184" s="481"/>
      <c r="O184" s="481"/>
    </row>
    <row r="185" spans="1:15" ht="13">
      <c r="A185" s="481"/>
      <c r="B185" s="502" t="s">
        <v>483</v>
      </c>
      <c r="C185" s="481"/>
      <c r="D185" s="481"/>
      <c r="E185" s="488"/>
      <c r="F185" s="501"/>
      <c r="G185" s="481"/>
      <c r="H185" s="481"/>
      <c r="I185" s="481"/>
      <c r="J185" s="481"/>
      <c r="K185" s="481"/>
      <c r="L185" s="481"/>
      <c r="M185" s="481"/>
      <c r="N185" s="481"/>
      <c r="O185" s="481"/>
    </row>
    <row r="186" spans="1:15" ht="13">
      <c r="A186" s="481"/>
      <c r="B186" s="481"/>
      <c r="C186" s="489" t="s">
        <v>426</v>
      </c>
      <c r="D186" s="489" t="s">
        <v>396</v>
      </c>
      <c r="E186" s="487" t="s">
        <v>397</v>
      </c>
      <c r="F186" s="487" t="s">
        <v>484</v>
      </c>
      <c r="G186" s="481"/>
      <c r="H186" s="481"/>
      <c r="I186" s="481"/>
      <c r="J186" s="481"/>
      <c r="K186" s="481"/>
      <c r="L186" s="481"/>
      <c r="M186" s="481"/>
      <c r="N186" s="481"/>
      <c r="O186" s="481"/>
    </row>
    <row r="187" spans="1:15" ht="13">
      <c r="A187" s="481"/>
      <c r="B187" s="503" t="s">
        <v>485</v>
      </c>
      <c r="C187" s="489">
        <v>6</v>
      </c>
      <c r="D187" s="489">
        <v>1</v>
      </c>
      <c r="E187" s="487">
        <v>0.75</v>
      </c>
      <c r="F187" s="501">
        <f>+C187*D187*E187</f>
        <v>4.5</v>
      </c>
      <c r="G187" s="481"/>
      <c r="H187" s="481"/>
      <c r="I187" s="481"/>
      <c r="J187" s="481"/>
      <c r="K187" s="481"/>
      <c r="L187" s="481"/>
      <c r="M187" s="481"/>
      <c r="N187" s="481"/>
      <c r="O187" s="481"/>
    </row>
    <row r="188" spans="1:15" ht="13">
      <c r="A188" s="481"/>
      <c r="B188" s="481"/>
      <c r="C188" s="481"/>
      <c r="D188" s="481"/>
      <c r="E188" s="488" t="s">
        <v>406</v>
      </c>
      <c r="F188" s="501">
        <f>SUM(F187:F187)</f>
        <v>4.5</v>
      </c>
      <c r="G188" s="481"/>
      <c r="H188" s="481"/>
      <c r="I188" s="481"/>
      <c r="J188" s="481"/>
      <c r="K188" s="481"/>
      <c r="L188" s="481"/>
      <c r="M188" s="481"/>
      <c r="N188" s="481"/>
      <c r="O188" s="481"/>
    </row>
    <row r="189" spans="1:15" ht="13">
      <c r="A189" s="481"/>
      <c r="B189" s="481"/>
      <c r="C189" s="481"/>
      <c r="D189" s="481"/>
      <c r="E189" s="488"/>
      <c r="F189" s="501"/>
      <c r="G189" s="481"/>
      <c r="H189" s="481"/>
      <c r="I189" s="481"/>
      <c r="J189" s="481"/>
      <c r="K189" s="481"/>
      <c r="L189" s="481"/>
      <c r="M189" s="481"/>
      <c r="N189" s="481"/>
      <c r="O189" s="481"/>
    </row>
    <row r="190" spans="1:15" ht="13">
      <c r="A190" s="481"/>
      <c r="B190" s="502" t="s">
        <v>76</v>
      </c>
      <c r="C190" s="481"/>
      <c r="D190" s="481"/>
      <c r="E190" s="488"/>
      <c r="F190" s="501"/>
      <c r="G190" s="481"/>
      <c r="H190" s="481"/>
      <c r="I190" s="481"/>
      <c r="J190" s="481"/>
      <c r="K190" s="481"/>
      <c r="L190" s="481"/>
      <c r="M190" s="481"/>
      <c r="N190" s="481"/>
      <c r="O190" s="481"/>
    </row>
    <row r="191" spans="1:15" ht="13">
      <c r="A191" s="481"/>
      <c r="B191" s="481"/>
      <c r="C191" s="489" t="s">
        <v>426</v>
      </c>
      <c r="D191" s="489" t="s">
        <v>396</v>
      </c>
      <c r="E191" s="487"/>
      <c r="F191" s="487" t="s">
        <v>415</v>
      </c>
      <c r="G191" s="481"/>
      <c r="H191" s="481"/>
      <c r="I191" s="481"/>
      <c r="J191" s="481"/>
      <c r="K191" s="481"/>
      <c r="L191" s="481"/>
      <c r="M191" s="481"/>
      <c r="N191" s="481"/>
      <c r="O191" s="481"/>
    </row>
    <row r="192" spans="1:15" ht="13">
      <c r="A192" s="481"/>
      <c r="B192" s="481" t="s">
        <v>429</v>
      </c>
      <c r="C192" s="481">
        <v>2</v>
      </c>
      <c r="D192" s="481">
        <v>21.85</v>
      </c>
      <c r="E192" s="488"/>
      <c r="F192" s="501">
        <f>+D192*C192</f>
        <v>43.7</v>
      </c>
      <c r="G192" s="481"/>
      <c r="H192" s="481"/>
      <c r="I192" s="481"/>
      <c r="J192" s="481"/>
      <c r="K192" s="481"/>
      <c r="L192" s="481"/>
      <c r="M192" s="481"/>
      <c r="N192" s="481"/>
      <c r="O192" s="481"/>
    </row>
    <row r="193" spans="1:15" ht="13">
      <c r="A193" s="481"/>
      <c r="B193" s="481"/>
      <c r="C193" s="481">
        <v>2</v>
      </c>
      <c r="D193" s="481">
        <v>11</v>
      </c>
      <c r="E193" s="488"/>
      <c r="F193" s="501">
        <f>+C193*D193</f>
        <v>22</v>
      </c>
      <c r="G193" s="481"/>
      <c r="H193" s="481"/>
      <c r="I193" s="481"/>
      <c r="J193" s="481"/>
      <c r="K193" s="481"/>
      <c r="L193" s="481"/>
      <c r="M193" s="481"/>
      <c r="N193" s="481"/>
      <c r="O193" s="481"/>
    </row>
    <row r="194" spans="1:15" ht="13">
      <c r="A194" s="481"/>
      <c r="B194" s="481"/>
      <c r="C194" s="481"/>
      <c r="D194" s="481"/>
      <c r="E194" s="488" t="s">
        <v>406</v>
      </c>
      <c r="F194" s="501">
        <f>SUM(F192:F193)</f>
        <v>65.7</v>
      </c>
      <c r="G194" s="481"/>
      <c r="H194" s="481"/>
      <c r="I194" s="481"/>
      <c r="J194" s="481"/>
      <c r="K194" s="481"/>
      <c r="L194" s="481"/>
      <c r="M194" s="481"/>
      <c r="N194" s="481"/>
      <c r="O194" s="481"/>
    </row>
    <row r="195" spans="1:15" ht="13">
      <c r="A195" s="481"/>
      <c r="B195" s="481"/>
      <c r="C195" s="481"/>
      <c r="D195" s="481"/>
      <c r="E195" s="488"/>
      <c r="F195" s="501"/>
      <c r="G195" s="481"/>
      <c r="H195" s="481"/>
      <c r="I195" s="481"/>
      <c r="J195" s="481"/>
      <c r="K195" s="481"/>
      <c r="L195" s="481"/>
      <c r="M195" s="481"/>
      <c r="N195" s="481"/>
      <c r="O195" s="481"/>
    </row>
  </sheetData>
  <mergeCells count="15">
    <mergeCell ref="B68:B69"/>
    <mergeCell ref="A1:J1"/>
    <mergeCell ref="A2:J2"/>
    <mergeCell ref="F14:G14"/>
    <mergeCell ref="F25:G25"/>
    <mergeCell ref="B60:B61"/>
    <mergeCell ref="B118:B119"/>
    <mergeCell ref="F127:G127"/>
    <mergeCell ref="F139:G139"/>
    <mergeCell ref="B75:B76"/>
    <mergeCell ref="B77:B78"/>
    <mergeCell ref="B89:B90"/>
    <mergeCell ref="F95:G95"/>
    <mergeCell ref="B105:B106"/>
    <mergeCell ref="F109:G109"/>
  </mergeCells>
  <pageMargins left="0.70866141732283472" right="0.70866141732283472" top="0.74803149606299213" bottom="0.74803149606299213" header="0.31496062992125984" footer="0.31496062992125984"/>
  <pageSetup scale="46" fitToHeight="3"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F0FF6-4142-4810-81EC-4272A279BF28}">
  <sheetPr>
    <tabColor theme="4" tint="0.59999389629810485"/>
    <pageSetUpPr fitToPage="1"/>
  </sheetPr>
  <dimension ref="A1:H38"/>
  <sheetViews>
    <sheetView showGridLines="0" view="pageBreakPreview" zoomScale="80" zoomScaleNormal="120" zoomScaleSheetLayoutView="80" workbookViewId="0">
      <selection activeCell="A5" sqref="A5:A62"/>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MR'!A26</f>
        <v>4.9</v>
      </c>
      <c r="D3" s="31"/>
      <c r="E3" s="31"/>
      <c r="F3" s="31"/>
      <c r="G3" s="32" t="s">
        <v>652</v>
      </c>
    </row>
    <row r="4" spans="1:7" ht="34.9" customHeight="1">
      <c r="B4" s="649" t="str">
        <f>+'PRES GENERAL MR'!B26</f>
        <v>Sistema de puesta a tierra cuadrada para baja tensión Norma IPSE NC 740 Y 741</v>
      </c>
      <c r="C4" s="655"/>
      <c r="D4" s="655"/>
      <c r="E4" s="656"/>
      <c r="G4" s="33" t="str">
        <f>+'PRES GENERAL MR'!C26</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309</v>
      </c>
      <c r="B8" s="69" t="str">
        <f>VLOOKUP(A8,Materiales3[],3,FALSE)</f>
        <v xml:space="preserve">Cinta bandit 5/8" </v>
      </c>
      <c r="C8" s="40" t="str">
        <f>VLOOKUP(A8,Materiales3[],4,FALSE)</f>
        <v>ml</v>
      </c>
      <c r="D8" s="40">
        <v>3.5</v>
      </c>
      <c r="E8" s="194">
        <f>VLOOKUP(A8,Materiales3[],5,FALSE)*D8</f>
        <v>0.17500000000000002</v>
      </c>
      <c r="F8" s="42">
        <f>VLOOKUP(A8,Materiales3[],6,FALSE)</f>
        <v>0</v>
      </c>
      <c r="G8" s="42">
        <f>D8*F8</f>
        <v>0</v>
      </c>
    </row>
    <row r="9" spans="1:7" ht="14.5">
      <c r="A9" s="89">
        <v>310</v>
      </c>
      <c r="B9" s="69" t="str">
        <f>VLOOKUP(A9,Materiales3[],3,FALSE)</f>
        <v>Hebilla de acero inoxidable 5/8"</v>
      </c>
      <c r="C9" s="40" t="str">
        <f>VLOOKUP(A9,Materiales3[],4,FALSE)</f>
        <v>UN</v>
      </c>
      <c r="D9" s="40">
        <v>2</v>
      </c>
      <c r="E9" s="194">
        <f>VLOOKUP(A9,Materiales3[],5,FALSE)*D9</f>
        <v>0.1</v>
      </c>
      <c r="F9" s="42">
        <f>VLOOKUP(A9,Materiales3[],6,FALSE)</f>
        <v>0</v>
      </c>
      <c r="G9" s="42">
        <f t="shared" ref="G9:G11" si="0">D9*F9</f>
        <v>0</v>
      </c>
    </row>
    <row r="10" spans="1:7" ht="25">
      <c r="A10" s="89">
        <v>382</v>
      </c>
      <c r="B10" s="69" t="str">
        <f>VLOOKUP(A10,Materiales3[],3,FALSE)</f>
        <v>CONECTOR DE PERFORACION TORN CHAQ AISL 2/0-2  P2X-95</v>
      </c>
      <c r="C10" s="40" t="str">
        <f>VLOOKUP(A10,Materiales3[],4,FALSE)</f>
        <v>UN</v>
      </c>
      <c r="D10" s="40">
        <v>1</v>
      </c>
      <c r="E10" s="194">
        <f>VLOOKUP(A10,Materiales3[],5,FALSE)*D10</f>
        <v>0.2</v>
      </c>
      <c r="F10" s="42">
        <f>VLOOKUP(A10,Materiales3[],6,FALSE)</f>
        <v>0</v>
      </c>
      <c r="G10" s="42">
        <f t="shared" si="0"/>
        <v>0</v>
      </c>
    </row>
    <row r="11" spans="1:7" ht="25">
      <c r="A11" s="89">
        <v>383</v>
      </c>
      <c r="B11" s="69" t="str">
        <f>VLOOKUP(A11,Materiales3[],3,FALSE)</f>
        <v>KIT PUESTA A TIERRA NEUTRO SECUNDARIO CON VARILLA</v>
      </c>
      <c r="C11" s="40" t="str">
        <f>VLOOKUP(A11,Materiales3[],4,FALSE)</f>
        <v>UN</v>
      </c>
      <c r="D11" s="40">
        <v>1</v>
      </c>
      <c r="E11" s="194">
        <f>VLOOKUP(A11,Materiales3[],5,FALSE)*D11</f>
        <v>5</v>
      </c>
      <c r="F11" s="42">
        <f>VLOOKUP(A11,Materiales3[],6,FALSE)</f>
        <v>0</v>
      </c>
      <c r="G11" s="42">
        <f t="shared" si="0"/>
        <v>0</v>
      </c>
    </row>
    <row r="12" spans="1:7" ht="14.5">
      <c r="A12" s="89"/>
      <c r="B12" s="69"/>
      <c r="C12" s="40"/>
      <c r="D12" s="40"/>
      <c r="E12" s="194"/>
      <c r="F12" s="42"/>
      <c r="G12" s="42"/>
    </row>
    <row r="13" spans="1:7" ht="14.5">
      <c r="A13" s="89"/>
      <c r="B13" s="69"/>
      <c r="C13" s="40"/>
      <c r="D13" s="40"/>
      <c r="E13" s="194"/>
      <c r="F13" s="42"/>
      <c r="G13" s="42">
        <f t="shared" ref="G13" si="1">D13*F13</f>
        <v>0</v>
      </c>
    </row>
    <row r="14" spans="1:7" ht="13">
      <c r="D14" s="47"/>
      <c r="E14" s="47"/>
      <c r="F14" s="48" t="s">
        <v>654</v>
      </c>
      <c r="G14" s="49">
        <f>SUM(G8:G13)</f>
        <v>0</v>
      </c>
    </row>
    <row r="15" spans="1:7">
      <c r="G15" s="73"/>
    </row>
    <row r="16" spans="1:7" ht="13">
      <c r="B16" s="50" t="s">
        <v>655</v>
      </c>
      <c r="G16" s="74"/>
    </row>
    <row r="17" spans="1:8" ht="13">
      <c r="A17" s="88" t="s">
        <v>138</v>
      </c>
      <c r="B17" s="37" t="s">
        <v>19</v>
      </c>
      <c r="C17" s="38" t="s">
        <v>665</v>
      </c>
      <c r="D17" s="38" t="s">
        <v>656</v>
      </c>
      <c r="E17" s="38"/>
      <c r="F17" s="38" t="s">
        <v>21</v>
      </c>
      <c r="G17" s="38" t="s">
        <v>286</v>
      </c>
    </row>
    <row r="18" spans="1:8" ht="14.5">
      <c r="A18" s="89">
        <v>1</v>
      </c>
      <c r="B18" s="43" t="str">
        <f>VLOOKUP(A18,Equipoyherramienta[],2,FALSE)</f>
        <v>Herramienta menor</v>
      </c>
      <c r="C18" s="44" t="str">
        <f>VLOOKUP(A18,Equipoyherramienta[],3,FALSE)</f>
        <v>UN</v>
      </c>
      <c r="D18" s="51">
        <f>VLOOKUP(A18,Equipoyherramienta[],4,FALSE)</f>
        <v>0</v>
      </c>
      <c r="E18" s="51"/>
      <c r="F18" s="71">
        <v>2</v>
      </c>
      <c r="G18" s="51">
        <f>ROUND(D18/F18,0)</f>
        <v>0</v>
      </c>
    </row>
    <row r="19" spans="1:8" ht="14.5">
      <c r="A19" s="89"/>
      <c r="B19" s="43"/>
      <c r="C19" s="44"/>
      <c r="D19" s="51"/>
      <c r="E19" s="51"/>
      <c r="F19" s="71"/>
      <c r="G19" s="51"/>
    </row>
    <row r="20" spans="1:8">
      <c r="B20" s="43"/>
      <c r="C20" s="44"/>
      <c r="D20" s="46"/>
      <c r="E20" s="46"/>
      <c r="F20" s="52"/>
      <c r="G20" s="53"/>
    </row>
    <row r="21" spans="1:8" ht="13">
      <c r="D21" s="47"/>
      <c r="E21" s="47"/>
      <c r="F21" s="48" t="s">
        <v>654</v>
      </c>
      <c r="G21" s="49">
        <f>SUM(G18:G20)</f>
        <v>0</v>
      </c>
    </row>
    <row r="22" spans="1:8" ht="13">
      <c r="D22" s="47"/>
      <c r="E22" s="47"/>
      <c r="F22" s="47"/>
      <c r="G22" s="54"/>
    </row>
    <row r="23" spans="1:8" ht="13">
      <c r="B23" s="36" t="s">
        <v>657</v>
      </c>
      <c r="G23" s="55"/>
    </row>
    <row r="24" spans="1:8" ht="13">
      <c r="A24" s="88" t="s">
        <v>138</v>
      </c>
      <c r="B24" s="37" t="s">
        <v>19</v>
      </c>
      <c r="C24" s="38" t="s">
        <v>284</v>
      </c>
      <c r="D24" s="38" t="s">
        <v>410</v>
      </c>
      <c r="E24" s="38"/>
      <c r="F24" s="38" t="s">
        <v>666</v>
      </c>
      <c r="G24" s="56" t="s">
        <v>286</v>
      </c>
    </row>
    <row r="25" spans="1:8" ht="50">
      <c r="A25" s="89">
        <v>6</v>
      </c>
      <c r="B25" s="57" t="str">
        <f>VLOOKUP(A25,Transp.[],2,FALSE)</f>
        <v>Carga terrestre desde Barranquilla hasta Usuario, incluye cargues, descargues, cruces de río, transporte semoviente, transporte en vehículo de carga pesada y cualquier otro tranposte.</v>
      </c>
      <c r="C25" s="40" t="s">
        <v>667</v>
      </c>
      <c r="D25" s="41">
        <f>SUM(E8:E13)</f>
        <v>5.4749999999999996</v>
      </c>
      <c r="E25" s="41"/>
      <c r="F25" s="59">
        <f>VLOOKUP(A25,Transp.[],6,FALSE)</f>
        <v>0</v>
      </c>
      <c r="G25" s="59">
        <f>D25*F25</f>
        <v>0</v>
      </c>
    </row>
    <row r="26" spans="1:8" ht="14.5">
      <c r="A26" s="89"/>
      <c r="B26" s="57"/>
      <c r="C26" s="40"/>
      <c r="D26" s="41"/>
      <c r="E26" s="41"/>
      <c r="F26" s="59"/>
      <c r="G26" s="59"/>
    </row>
    <row r="27" spans="1:8" ht="13.15" customHeight="1">
      <c r="A27" s="89"/>
      <c r="B27" s="57"/>
      <c r="C27" s="40"/>
      <c r="D27" s="41"/>
      <c r="E27" s="41"/>
      <c r="F27" s="59"/>
      <c r="G27" s="59"/>
    </row>
    <row r="28" spans="1:8" ht="13.15" customHeight="1">
      <c r="D28" s="47"/>
      <c r="E28" s="47"/>
      <c r="F28" s="61" t="s">
        <v>654</v>
      </c>
      <c r="G28" s="49">
        <f>SUM(G25:G27)</f>
        <v>0</v>
      </c>
    </row>
    <row r="30" spans="1:8" ht="13">
      <c r="B30" s="36" t="s">
        <v>661</v>
      </c>
      <c r="D30" s="62"/>
      <c r="E30" s="62"/>
      <c r="F30" s="63"/>
      <c r="G30" s="55"/>
    </row>
    <row r="31" spans="1:8" ht="13">
      <c r="A31" s="88" t="s">
        <v>138</v>
      </c>
      <c r="B31" s="38" t="s">
        <v>19</v>
      </c>
      <c r="C31" s="38" t="s">
        <v>662</v>
      </c>
      <c r="D31" s="38" t="s">
        <v>663</v>
      </c>
      <c r="E31" s="38"/>
      <c r="F31" s="38" t="s">
        <v>21</v>
      </c>
      <c r="G31" s="56" t="s">
        <v>286</v>
      </c>
      <c r="H31" s="47"/>
    </row>
    <row r="32" spans="1:8" s="47" customFormat="1" ht="14.5">
      <c r="A32" s="89">
        <v>1</v>
      </c>
      <c r="B32" s="64" t="str">
        <f>VLOOKUP(A32,ManoObra[],2,FALSE)</f>
        <v>Electricista</v>
      </c>
      <c r="C32" s="65">
        <f>VLOOKUP(A32,ManoObra[],8,FALSE)</f>
        <v>0</v>
      </c>
      <c r="D32" s="52">
        <f>+FP!E27</f>
        <v>0</v>
      </c>
      <c r="E32" s="52"/>
      <c r="F32" s="71">
        <f>F18</f>
        <v>2</v>
      </c>
      <c r="G32" s="51">
        <f>ROUND(C32*D32/F32,0)</f>
        <v>0</v>
      </c>
      <c r="H32" s="29"/>
    </row>
    <row r="33" spans="1:7" ht="14.5">
      <c r="A33" s="89">
        <v>2</v>
      </c>
      <c r="B33" s="64" t="str">
        <f>VLOOKUP(A33,ManoObra[],2,FALSE)</f>
        <v>Ayudante</v>
      </c>
      <c r="C33" s="65">
        <f>VLOOKUP(A33,ManoObra[],8,FALSE)</f>
        <v>0</v>
      </c>
      <c r="D33" s="52">
        <f>+FP!E27</f>
        <v>0</v>
      </c>
      <c r="E33" s="52"/>
      <c r="F33" s="71">
        <f>F18</f>
        <v>2</v>
      </c>
      <c r="G33" s="51">
        <f>ROUND(C33*D33/F33,0)</f>
        <v>0</v>
      </c>
    </row>
    <row r="34" spans="1:7" ht="14.5">
      <c r="A34" s="89"/>
      <c r="B34" s="70"/>
      <c r="C34" s="65"/>
      <c r="D34" s="52"/>
      <c r="E34" s="52"/>
      <c r="F34" s="45"/>
      <c r="G34" s="51"/>
    </row>
    <row r="35" spans="1:7" ht="13">
      <c r="D35" s="47"/>
      <c r="E35" s="47"/>
      <c r="F35" s="61" t="s">
        <v>654</v>
      </c>
      <c r="G35" s="75">
        <f>SUM(G32:G34)</f>
        <v>0</v>
      </c>
    </row>
    <row r="36" spans="1:7" ht="13">
      <c r="D36" s="47"/>
      <c r="E36" s="47"/>
      <c r="G36" s="55"/>
    </row>
    <row r="37" spans="1:7" ht="13">
      <c r="B37" s="47"/>
      <c r="D37" s="652" t="s">
        <v>664</v>
      </c>
      <c r="E37" s="654"/>
      <c r="F37" s="653"/>
      <c r="G37" s="66">
        <f>G14+G21+G28+G35</f>
        <v>0</v>
      </c>
    </row>
    <row r="38" spans="1:7" ht="12.75" customHeight="1"/>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C320-66A3-4857-AF57-69098F5ECBDC}">
  <sheetPr>
    <tabColor theme="4" tint="0.59999389629810485"/>
    <pageSetUpPr fitToPage="1"/>
  </sheetPr>
  <dimension ref="A1:H34"/>
  <sheetViews>
    <sheetView showGridLines="0" view="pageBreakPreview" zoomScale="80" zoomScaleNormal="120" zoomScaleSheetLayoutView="80" workbookViewId="0">
      <selection activeCell="A11" sqref="A11:A58"/>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MR'!A27</f>
        <v>4.10</v>
      </c>
      <c r="D3" s="31"/>
      <c r="E3" s="31"/>
      <c r="F3" s="31"/>
      <c r="G3" s="32" t="s">
        <v>652</v>
      </c>
    </row>
    <row r="4" spans="1:7" ht="34.9" customHeight="1">
      <c r="B4" s="649" t="str">
        <f>+'PRES GENERAL MR'!B27</f>
        <v>Cable de Acometida antifraude XL/PVC 600 V 90° Nº 2x6+6 AWG Aluminio</v>
      </c>
      <c r="C4" s="655"/>
      <c r="D4" s="655"/>
      <c r="E4" s="656"/>
      <c r="G4" s="33" t="str">
        <f>+'PRES GENERAL MR'!C27</f>
        <v>ML</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23.5" customHeight="1">
      <c r="A8" s="89">
        <v>82</v>
      </c>
      <c r="B8" s="69" t="str">
        <f>VLOOKUP(A8,Materiales3[],3,FALSE)</f>
        <v>Cable de aluminio antifraude (con neutro concéntrico) 2 x No. 6 AWG</v>
      </c>
      <c r="C8" s="40" t="str">
        <f>VLOOKUP(A8,Materiales3[],4,FALSE)</f>
        <v>UN</v>
      </c>
      <c r="D8" s="40">
        <v>1.1000000000000001</v>
      </c>
      <c r="E8" s="194">
        <f>VLOOKUP(A8,Materiales3[],5,FALSE)*D8</f>
        <v>0.34430000000000005</v>
      </c>
      <c r="F8" s="42">
        <f>VLOOKUP(A8,Materiales3[],6,FALSE)</f>
        <v>0</v>
      </c>
      <c r="G8" s="42">
        <f>D8*F8</f>
        <v>0</v>
      </c>
    </row>
    <row r="9" spans="1:7" ht="14.5">
      <c r="A9" s="89"/>
      <c r="B9" s="69"/>
      <c r="C9" s="40"/>
      <c r="D9" s="40"/>
      <c r="E9" s="194"/>
      <c r="F9" s="42"/>
      <c r="G9" s="42">
        <f t="shared" ref="G9" si="0">D9*F9</f>
        <v>0</v>
      </c>
    </row>
    <row r="10" spans="1:7" ht="13">
      <c r="D10" s="47"/>
      <c r="E10" s="47"/>
      <c r="F10" s="48" t="s">
        <v>654</v>
      </c>
      <c r="G10" s="49">
        <f>SUM(G8:G9)</f>
        <v>0</v>
      </c>
    </row>
    <row r="11" spans="1:7">
      <c r="G11" s="73"/>
    </row>
    <row r="12" spans="1:7" ht="13">
      <c r="B12" s="50" t="s">
        <v>655</v>
      </c>
      <c r="G12" s="74"/>
    </row>
    <row r="13" spans="1:7" ht="13">
      <c r="A13" s="88" t="s">
        <v>138</v>
      </c>
      <c r="B13" s="37" t="s">
        <v>19</v>
      </c>
      <c r="C13" s="38" t="s">
        <v>665</v>
      </c>
      <c r="D13" s="38" t="s">
        <v>656</v>
      </c>
      <c r="E13" s="38"/>
      <c r="F13" s="38" t="s">
        <v>21</v>
      </c>
      <c r="G13" s="38" t="s">
        <v>286</v>
      </c>
    </row>
    <row r="14" spans="1:7" ht="14.5">
      <c r="A14" s="89">
        <v>1</v>
      </c>
      <c r="B14" s="43" t="str">
        <f>VLOOKUP(A14,Equipoyherramienta[],2,FALSE)</f>
        <v>Herramienta menor</v>
      </c>
      <c r="C14" s="44" t="str">
        <f>VLOOKUP(A14,Equipoyherramienta[],3,FALSE)</f>
        <v>UN</v>
      </c>
      <c r="D14" s="51">
        <f>VLOOKUP(A14,Equipoyherramienta[],4,FALSE)</f>
        <v>0</v>
      </c>
      <c r="E14" s="51"/>
      <c r="F14" s="71">
        <v>150</v>
      </c>
      <c r="G14" s="51">
        <f>ROUND(D14/F14,0)</f>
        <v>0</v>
      </c>
    </row>
    <row r="15" spans="1:7" ht="14.5">
      <c r="A15" s="89"/>
      <c r="B15" s="43"/>
      <c r="C15" s="44"/>
      <c r="D15" s="51"/>
      <c r="E15" s="51"/>
      <c r="F15" s="71"/>
      <c r="G15" s="51"/>
    </row>
    <row r="16" spans="1:7">
      <c r="B16" s="43"/>
      <c r="C16" s="44"/>
      <c r="D16" s="46"/>
      <c r="E16" s="46"/>
      <c r="F16" s="52"/>
      <c r="G16" s="53"/>
    </row>
    <row r="17" spans="1:8" ht="13">
      <c r="D17" s="47"/>
      <c r="E17" s="47"/>
      <c r="F17" s="48" t="s">
        <v>654</v>
      </c>
      <c r="G17" s="49">
        <f>SUM(G14:G16)</f>
        <v>0</v>
      </c>
    </row>
    <row r="18" spans="1:8" ht="13">
      <c r="D18" s="47"/>
      <c r="E18" s="47"/>
      <c r="F18" s="47"/>
      <c r="G18" s="54"/>
    </row>
    <row r="19" spans="1:8" ht="13">
      <c r="B19" s="36" t="s">
        <v>657</v>
      </c>
      <c r="G19" s="55"/>
    </row>
    <row r="20" spans="1:8" ht="13">
      <c r="A20" s="88" t="s">
        <v>138</v>
      </c>
      <c r="B20" s="37" t="s">
        <v>19</v>
      </c>
      <c r="C20" s="38" t="s">
        <v>284</v>
      </c>
      <c r="D20" s="38" t="s">
        <v>410</v>
      </c>
      <c r="E20" s="38"/>
      <c r="F20" s="38" t="s">
        <v>666</v>
      </c>
      <c r="G20" s="56" t="s">
        <v>286</v>
      </c>
    </row>
    <row r="21" spans="1:8" ht="50">
      <c r="A21" s="89">
        <v>6</v>
      </c>
      <c r="B21" s="57" t="str">
        <f>VLOOKUP(A21,Transp.[],2,FALSE)</f>
        <v>Carga terrestre desde Barranquilla hasta Usuario, incluye cargues, descargues, cruces de río, transporte semoviente, transporte en vehículo de carga pesada y cualquier otro tranposte.</v>
      </c>
      <c r="C21" s="40" t="s">
        <v>667</v>
      </c>
      <c r="D21" s="41">
        <f>SUM(E8:E9)</f>
        <v>0.34430000000000005</v>
      </c>
      <c r="E21" s="41"/>
      <c r="F21" s="59">
        <f>VLOOKUP(A21,Transp.[],6,FALSE)</f>
        <v>0</v>
      </c>
      <c r="G21" s="59">
        <f>D21*F21</f>
        <v>0</v>
      </c>
    </row>
    <row r="22" spans="1:8" ht="14.5">
      <c r="A22" s="89"/>
      <c r="B22" s="57"/>
      <c r="C22" s="40"/>
      <c r="D22" s="41"/>
      <c r="E22" s="41"/>
      <c r="F22" s="59"/>
      <c r="G22" s="59"/>
    </row>
    <row r="23" spans="1:8" ht="13.15" customHeight="1">
      <c r="A23" s="89"/>
      <c r="B23" s="57"/>
      <c r="C23" s="40"/>
      <c r="D23" s="41"/>
      <c r="E23" s="41"/>
      <c r="F23" s="59"/>
      <c r="G23" s="59"/>
    </row>
    <row r="24" spans="1:8" ht="13.15" customHeight="1">
      <c r="D24" s="47"/>
      <c r="E24" s="47"/>
      <c r="F24" s="61" t="s">
        <v>654</v>
      </c>
      <c r="G24" s="49">
        <f>SUM(G21:G23)</f>
        <v>0</v>
      </c>
    </row>
    <row r="26" spans="1:8" ht="13">
      <c r="B26" s="36" t="s">
        <v>661</v>
      </c>
      <c r="D26" s="62"/>
      <c r="E26" s="62"/>
      <c r="F26" s="63"/>
      <c r="G26" s="55"/>
    </row>
    <row r="27" spans="1:8" ht="13">
      <c r="A27" s="88" t="s">
        <v>138</v>
      </c>
      <c r="B27" s="38" t="s">
        <v>19</v>
      </c>
      <c r="C27" s="38" t="s">
        <v>662</v>
      </c>
      <c r="D27" s="38" t="s">
        <v>663</v>
      </c>
      <c r="E27" s="38"/>
      <c r="F27" s="38" t="s">
        <v>21</v>
      </c>
      <c r="G27" s="56" t="s">
        <v>286</v>
      </c>
      <c r="H27" s="47"/>
    </row>
    <row r="28" spans="1:8" s="47" customFormat="1" ht="14.5">
      <c r="A28" s="89">
        <v>1</v>
      </c>
      <c r="B28" s="64" t="str">
        <f>VLOOKUP(A28,ManoObra[],2,FALSE)</f>
        <v>Electricista</v>
      </c>
      <c r="C28" s="65">
        <f>VLOOKUP(A28,ManoObra[],8,FALSE)</f>
        <v>0</v>
      </c>
      <c r="D28" s="52">
        <f>+FP!E27</f>
        <v>0</v>
      </c>
      <c r="E28" s="52"/>
      <c r="F28" s="71">
        <f>F14</f>
        <v>150</v>
      </c>
      <c r="G28" s="51">
        <f>ROUND(C28*D28/F28,0)</f>
        <v>0</v>
      </c>
      <c r="H28" s="29"/>
    </row>
    <row r="29" spans="1:8" ht="14.5">
      <c r="A29" s="89">
        <v>2</v>
      </c>
      <c r="B29" s="64" t="str">
        <f>VLOOKUP(A29,ManoObra[],2,FALSE)</f>
        <v>Ayudante</v>
      </c>
      <c r="C29" s="65">
        <f>VLOOKUP(A29,ManoObra[],8,FALSE)</f>
        <v>0</v>
      </c>
      <c r="D29" s="52">
        <f>+FP!E27</f>
        <v>0</v>
      </c>
      <c r="E29" s="52"/>
      <c r="F29" s="71">
        <f>F14</f>
        <v>150</v>
      </c>
      <c r="G29" s="51">
        <f>ROUND(C29*D29/F29,0)</f>
        <v>0</v>
      </c>
    </row>
    <row r="30" spans="1:8" ht="14.5">
      <c r="A30" s="89"/>
      <c r="B30" s="70"/>
      <c r="C30" s="65"/>
      <c r="D30" s="52"/>
      <c r="E30" s="52"/>
      <c r="F30" s="45"/>
      <c r="G30" s="51"/>
    </row>
    <row r="31" spans="1:8" ht="13">
      <c r="D31" s="47"/>
      <c r="E31" s="47"/>
      <c r="F31" s="61" t="s">
        <v>654</v>
      </c>
      <c r="G31" s="75">
        <f>SUM(G28:G30)</f>
        <v>0</v>
      </c>
    </row>
    <row r="32" spans="1:8" ht="13">
      <c r="D32" s="47"/>
      <c r="E32" s="47"/>
      <c r="G32" s="55"/>
    </row>
    <row r="33" spans="2:7" ht="13">
      <c r="B33" s="47"/>
      <c r="D33" s="652" t="s">
        <v>664</v>
      </c>
      <c r="E33" s="654"/>
      <c r="F33" s="653"/>
      <c r="G33" s="66">
        <f>G10+G17+G24+G31</f>
        <v>0</v>
      </c>
    </row>
    <row r="34" spans="2:7" ht="12.75" customHeight="1"/>
  </sheetData>
  <mergeCells count="3">
    <mergeCell ref="B1:G1"/>
    <mergeCell ref="B4:E4"/>
    <mergeCell ref="D33:F33"/>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legacy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54B1-E9E0-4031-8D27-F24C6720DA8D}">
  <sheetPr>
    <tabColor theme="4" tint="0.59999389629810485"/>
    <pageSetUpPr fitToPage="1"/>
  </sheetPr>
  <dimension ref="A1:H39"/>
  <sheetViews>
    <sheetView showGridLines="0" view="pageBreakPreview" zoomScale="80" zoomScaleNormal="120" zoomScaleSheetLayoutView="80" workbookViewId="0">
      <selection activeCell="A3" sqref="A3:A39"/>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182" t="str">
        <f>+'PRES GENERAL MR'!A28</f>
        <v>4.11</v>
      </c>
      <c r="D3" s="31"/>
      <c r="E3" s="31"/>
      <c r="F3" s="31"/>
      <c r="G3" s="32" t="s">
        <v>652</v>
      </c>
    </row>
    <row r="4" spans="1:7" ht="34.9" customHeight="1">
      <c r="B4" s="649" t="str">
        <f>+'PRES GENERAL MR'!B28</f>
        <v>Retenida Terminal o en ángulos poste a varilla de anclaje Norma IPSE NC - 752</v>
      </c>
      <c r="C4" s="655"/>
      <c r="D4" s="655"/>
      <c r="E4" s="656"/>
      <c r="G4" s="33" t="str">
        <f>+'PRES GENERAL MR'!C28</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14.5">
      <c r="A8" s="89">
        <v>301</v>
      </c>
      <c r="B8" s="69" t="str">
        <f>VLOOKUP(A8,Materiales3[],3,FALSE)</f>
        <v>Aislador tipo tensor 4/1/4"</v>
      </c>
      <c r="C8" s="40" t="str">
        <f>VLOOKUP(A8,Materiales3[],4,FALSE)</f>
        <v>UN</v>
      </c>
      <c r="D8" s="40">
        <v>1</v>
      </c>
      <c r="E8" s="194">
        <f>VLOOKUP(A8,Materiales3[],5,FALSE)*D8</f>
        <v>0.25</v>
      </c>
      <c r="F8" s="42">
        <f>VLOOKUP(A8,Materiales3[],6,FALSE)</f>
        <v>0</v>
      </c>
      <c r="G8" s="42">
        <f>D8*F8</f>
        <v>0</v>
      </c>
    </row>
    <row r="9" spans="1:7" ht="14.5">
      <c r="A9" s="89">
        <v>302</v>
      </c>
      <c r="B9" s="69" t="str">
        <f>VLOOKUP(A9,Materiales3[],3,FALSE)</f>
        <v>Grapa prensora 3 pernos para cable 3/8"</v>
      </c>
      <c r="C9" s="40" t="str">
        <f>VLOOKUP(A9,Materiales3[],4,FALSE)</f>
        <v>UN</v>
      </c>
      <c r="D9" s="40">
        <v>3</v>
      </c>
      <c r="E9" s="194">
        <f>VLOOKUP(A9,Materiales3[],5,FALSE)*D9</f>
        <v>0.36</v>
      </c>
      <c r="F9" s="42">
        <f>VLOOKUP(A9,Materiales3[],6,FALSE)</f>
        <v>0</v>
      </c>
      <c r="G9" s="42">
        <f t="shared" ref="G9:G14" si="0">D9*F9</f>
        <v>0</v>
      </c>
    </row>
    <row r="10" spans="1:7" ht="14.5">
      <c r="A10" s="89">
        <v>303</v>
      </c>
      <c r="B10" s="69" t="str">
        <f>VLOOKUP(A10,Materiales3[],3,FALSE)</f>
        <v>Guardacabo para cable 3/8"</v>
      </c>
      <c r="C10" s="40" t="str">
        <f>VLOOKUP(A10,Materiales3[],4,FALSE)</f>
        <v>UN</v>
      </c>
      <c r="D10" s="40">
        <v>1</v>
      </c>
      <c r="E10" s="194">
        <f>VLOOKUP(A10,Materiales3[],5,FALSE)*D10</f>
        <v>0.1</v>
      </c>
      <c r="F10" s="42">
        <f>VLOOKUP(A10,Materiales3[],6,FALSE)</f>
        <v>0</v>
      </c>
      <c r="G10" s="42">
        <f t="shared" si="0"/>
        <v>0</v>
      </c>
    </row>
    <row r="11" spans="1:7" ht="14.5">
      <c r="A11" s="89">
        <v>304</v>
      </c>
      <c r="B11" s="69" t="str">
        <f>VLOOKUP(A11,Materiales3[],3,FALSE)</f>
        <v>Arandela cuadrada plano 4 x 4 x 5/8 "</v>
      </c>
      <c r="C11" s="40" t="str">
        <f>VLOOKUP(A11,Materiales3[],4,FALSE)</f>
        <v>UN</v>
      </c>
      <c r="D11" s="40">
        <v>1</v>
      </c>
      <c r="E11" s="194">
        <f>VLOOKUP(A11,Materiales3[],5,FALSE)*D11</f>
        <v>0.01</v>
      </c>
      <c r="F11" s="42">
        <f>VLOOKUP(A11,Materiales3[],6,FALSE)</f>
        <v>0</v>
      </c>
      <c r="G11" s="42">
        <f t="shared" si="0"/>
        <v>0</v>
      </c>
    </row>
    <row r="12" spans="1:7" ht="14.5">
      <c r="A12" s="89">
        <v>305</v>
      </c>
      <c r="B12" s="69" t="str">
        <f>VLOOKUP(A12,Materiales3[],3,FALSE)</f>
        <v>Varilla de anclaje 1.8 m x 5/8"</v>
      </c>
      <c r="C12" s="40" t="str">
        <f>VLOOKUP(A12,Materiales3[],4,FALSE)</f>
        <v>UN</v>
      </c>
      <c r="D12" s="40">
        <v>1</v>
      </c>
      <c r="E12" s="194">
        <f>VLOOKUP(A12,Materiales3[],5,FALSE)*D12</f>
        <v>1</v>
      </c>
      <c r="F12" s="42">
        <f>VLOOKUP(A12,Materiales3[],6,FALSE)</f>
        <v>0</v>
      </c>
      <c r="G12" s="42">
        <f t="shared" si="0"/>
        <v>0</v>
      </c>
    </row>
    <row r="13" spans="1:7" ht="14.5">
      <c r="A13" s="89">
        <v>306</v>
      </c>
      <c r="B13" s="69" t="str">
        <f>VLOOKUP(A13,Materiales3[],3,FALSE)</f>
        <v>Bloque de anclaje en Concreto</v>
      </c>
      <c r="C13" s="40" t="str">
        <f>VLOOKUP(A13,Materiales3[],4,FALSE)</f>
        <v>UN</v>
      </c>
      <c r="D13" s="40">
        <v>1</v>
      </c>
      <c r="E13" s="194">
        <f>VLOOKUP(A13,Materiales3[],5,FALSE)*D13</f>
        <v>5</v>
      </c>
      <c r="F13" s="42">
        <f>VLOOKUP(A13,Materiales3[],6,FALSE)</f>
        <v>0</v>
      </c>
      <c r="G13" s="42">
        <f t="shared" si="0"/>
        <v>0</v>
      </c>
    </row>
    <row r="14" spans="1:7" ht="14.5">
      <c r="A14" s="89">
        <v>307</v>
      </c>
      <c r="B14" s="69" t="str">
        <f>VLOOKUP(A14,Materiales3[],3,FALSE)</f>
        <v>Cable galvanizado 3/8"</v>
      </c>
      <c r="C14" s="40" t="str">
        <f>VLOOKUP(A14,Materiales3[],4,FALSE)</f>
        <v>ml</v>
      </c>
      <c r="D14" s="40">
        <v>15</v>
      </c>
      <c r="E14" s="194">
        <f>VLOOKUP(A14,Materiales3[],5,FALSE)*D14</f>
        <v>7.5</v>
      </c>
      <c r="F14" s="42">
        <f>VLOOKUP(A14,Materiales3[],6,FALSE)</f>
        <v>0</v>
      </c>
      <c r="G14" s="42">
        <f t="shared" si="0"/>
        <v>0</v>
      </c>
    </row>
    <row r="15" spans="1:7" ht="13">
      <c r="D15" s="47"/>
      <c r="E15" s="47"/>
      <c r="F15" s="48" t="s">
        <v>654</v>
      </c>
      <c r="G15" s="49">
        <f>SUM(G8:G14)</f>
        <v>0</v>
      </c>
    </row>
    <row r="16" spans="1:7">
      <c r="G16" s="73"/>
    </row>
    <row r="17" spans="1:8" ht="13">
      <c r="B17" s="50" t="s">
        <v>655</v>
      </c>
      <c r="G17" s="74"/>
    </row>
    <row r="18" spans="1:8" ht="13">
      <c r="A18" s="88" t="s">
        <v>138</v>
      </c>
      <c r="B18" s="37" t="s">
        <v>19</v>
      </c>
      <c r="C18" s="38" t="s">
        <v>665</v>
      </c>
      <c r="D18" s="38" t="s">
        <v>656</v>
      </c>
      <c r="E18" s="38"/>
      <c r="F18" s="38" t="s">
        <v>21</v>
      </c>
      <c r="G18" s="38" t="s">
        <v>286</v>
      </c>
    </row>
    <row r="19" spans="1:8" ht="14.5">
      <c r="A19" s="89">
        <v>1</v>
      </c>
      <c r="B19" s="43" t="str">
        <f>VLOOKUP(A19,Equipoyherramienta[],2,FALSE)</f>
        <v>Herramienta menor</v>
      </c>
      <c r="C19" s="44" t="str">
        <f>VLOOKUP(A19,Equipoyherramienta[],3,FALSE)</f>
        <v>UN</v>
      </c>
      <c r="D19" s="51">
        <f>VLOOKUP(A19,Equipoyherramienta[],4,FALSE)</f>
        <v>0</v>
      </c>
      <c r="E19" s="51"/>
      <c r="F19" s="71">
        <v>2</v>
      </c>
      <c r="G19" s="51">
        <f>ROUND(D19/F19,0)</f>
        <v>0</v>
      </c>
    </row>
    <row r="20" spans="1:8" ht="14.5">
      <c r="A20" s="89"/>
      <c r="B20" s="43"/>
      <c r="C20" s="44"/>
      <c r="D20" s="51"/>
      <c r="E20" s="51"/>
      <c r="F20" s="71"/>
      <c r="G20" s="51"/>
    </row>
    <row r="21" spans="1:8">
      <c r="B21" s="43"/>
      <c r="C21" s="44"/>
      <c r="D21" s="46"/>
      <c r="E21" s="46"/>
      <c r="F21" s="52"/>
      <c r="G21" s="53"/>
    </row>
    <row r="22" spans="1:8" ht="13">
      <c r="D22" s="47"/>
      <c r="E22" s="47"/>
      <c r="F22" s="48" t="s">
        <v>654</v>
      </c>
      <c r="G22" s="49">
        <f>SUM(G19:G21)</f>
        <v>0</v>
      </c>
    </row>
    <row r="23" spans="1:8" ht="13">
      <c r="D23" s="47"/>
      <c r="E23" s="47"/>
      <c r="F23" s="47"/>
      <c r="G23" s="54"/>
    </row>
    <row r="24" spans="1:8" ht="13">
      <c r="B24" s="36" t="s">
        <v>657</v>
      </c>
      <c r="G24" s="55"/>
    </row>
    <row r="25" spans="1:8" ht="13">
      <c r="A25" s="88" t="s">
        <v>138</v>
      </c>
      <c r="B25" s="37" t="s">
        <v>19</v>
      </c>
      <c r="C25" s="38" t="s">
        <v>284</v>
      </c>
      <c r="D25" s="38" t="s">
        <v>410</v>
      </c>
      <c r="E25" s="38"/>
      <c r="F25" s="38" t="s">
        <v>666</v>
      </c>
      <c r="G25" s="56" t="s">
        <v>286</v>
      </c>
    </row>
    <row r="26" spans="1:8" ht="50">
      <c r="A26" s="89">
        <v>6</v>
      </c>
      <c r="B26" s="57" t="str">
        <f>VLOOKUP(A26,Transp.[],2,FALSE)</f>
        <v>Carga terrestre desde Barranquilla hasta Usuario, incluye cargues, descargues, cruces de río, transporte semoviente, transporte en vehículo de carga pesada y cualquier otro tranposte.</v>
      </c>
      <c r="C26" s="40" t="s">
        <v>667</v>
      </c>
      <c r="D26" s="41">
        <f>SUM(E8:E14)</f>
        <v>14.219999999999999</v>
      </c>
      <c r="E26" s="41"/>
      <c r="F26" s="59">
        <f>VLOOKUP(A26,Transp.[],6,FALSE)</f>
        <v>0</v>
      </c>
      <c r="G26" s="59">
        <f>D26*F26</f>
        <v>0</v>
      </c>
    </row>
    <row r="27" spans="1:8" ht="14.5">
      <c r="A27" s="89"/>
      <c r="B27" s="57"/>
      <c r="C27" s="40"/>
      <c r="D27" s="41"/>
      <c r="E27" s="41"/>
      <c r="F27" s="59"/>
      <c r="G27" s="59"/>
    </row>
    <row r="28" spans="1:8" ht="13.15" customHeight="1">
      <c r="A28" s="89"/>
      <c r="B28" s="57"/>
      <c r="C28" s="40"/>
      <c r="D28" s="41"/>
      <c r="E28" s="41"/>
      <c r="F28" s="59"/>
      <c r="G28" s="59"/>
    </row>
    <row r="29" spans="1:8" ht="13.15" customHeight="1">
      <c r="D29" s="47"/>
      <c r="E29" s="47"/>
      <c r="F29" s="61" t="s">
        <v>654</v>
      </c>
      <c r="G29" s="49">
        <f>SUM(G26:G28)</f>
        <v>0</v>
      </c>
    </row>
    <row r="31" spans="1:8" ht="13">
      <c r="B31" s="36" t="s">
        <v>661</v>
      </c>
      <c r="D31" s="62"/>
      <c r="E31" s="62"/>
      <c r="F31" s="63"/>
      <c r="G31" s="55"/>
    </row>
    <row r="32" spans="1:8" ht="13">
      <c r="A32" s="88" t="s">
        <v>138</v>
      </c>
      <c r="B32" s="38" t="s">
        <v>19</v>
      </c>
      <c r="C32" s="38" t="s">
        <v>662</v>
      </c>
      <c r="D32" s="38" t="s">
        <v>663</v>
      </c>
      <c r="E32" s="38"/>
      <c r="F32" s="38" t="s">
        <v>21</v>
      </c>
      <c r="G32" s="56" t="s">
        <v>286</v>
      </c>
      <c r="H32" s="47"/>
    </row>
    <row r="33" spans="1:8" s="47" customFormat="1" ht="14.5">
      <c r="A33" s="89">
        <v>1</v>
      </c>
      <c r="B33" s="64" t="str">
        <f>VLOOKUP(A33,ManoObra[],2,FALSE)</f>
        <v>Electricista</v>
      </c>
      <c r="C33" s="65">
        <f>VLOOKUP(A33,ManoObra[],8,FALSE)</f>
        <v>0</v>
      </c>
      <c r="D33" s="52">
        <f>+FP!E27</f>
        <v>0</v>
      </c>
      <c r="E33" s="52"/>
      <c r="F33" s="71">
        <f>F19</f>
        <v>2</v>
      </c>
      <c r="G33" s="51">
        <f>ROUND(C33*D33/F33,0)</f>
        <v>0</v>
      </c>
      <c r="H33" s="29"/>
    </row>
    <row r="34" spans="1:8" ht="14.5">
      <c r="A34" s="89">
        <v>2</v>
      </c>
      <c r="B34" s="64" t="str">
        <f>VLOOKUP(A34,ManoObra[],2,FALSE)</f>
        <v>Ayudante</v>
      </c>
      <c r="C34" s="65">
        <f>VLOOKUP(A34,ManoObra[],8,FALSE)</f>
        <v>0</v>
      </c>
      <c r="D34" s="52">
        <f>+FP!E27</f>
        <v>0</v>
      </c>
      <c r="E34" s="52"/>
      <c r="F34" s="71">
        <f>F19</f>
        <v>2</v>
      </c>
      <c r="G34" s="51">
        <f>ROUND(C34*D34/F34,0)</f>
        <v>0</v>
      </c>
    </row>
    <row r="35" spans="1:8" ht="14.5">
      <c r="A35" s="89"/>
      <c r="B35" s="70"/>
      <c r="C35" s="65"/>
      <c r="D35" s="52"/>
      <c r="E35" s="52"/>
      <c r="F35" s="45"/>
      <c r="G35" s="51"/>
    </row>
    <row r="36" spans="1:8" ht="13">
      <c r="D36" s="47"/>
      <c r="E36" s="47"/>
      <c r="F36" s="61" t="s">
        <v>654</v>
      </c>
      <c r="G36" s="75">
        <f>SUM(G33:G35)</f>
        <v>0</v>
      </c>
    </row>
    <row r="37" spans="1:8" ht="13">
      <c r="D37" s="47"/>
      <c r="E37" s="47"/>
      <c r="G37" s="55"/>
    </row>
    <row r="38" spans="1:8" ht="13">
      <c r="B38" s="47"/>
      <c r="D38" s="652" t="s">
        <v>664</v>
      </c>
      <c r="E38" s="654"/>
      <c r="F38" s="653"/>
      <c r="G38" s="66">
        <f>G15+G22+G29+G36</f>
        <v>0</v>
      </c>
    </row>
    <row r="39" spans="1:8" ht="12.75" customHeight="1"/>
  </sheetData>
  <mergeCells count="3">
    <mergeCell ref="B1:G1"/>
    <mergeCell ref="B4:E4"/>
    <mergeCell ref="D38:F3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A1EF-9828-41A5-9BE7-D6AE9F54E351}">
  <sheetPr codeName="Hoja48">
    <tabColor theme="4" tint="0.59999389629810485"/>
    <pageSetUpPr fitToPage="1"/>
  </sheetPr>
  <dimension ref="A1:G44"/>
  <sheetViews>
    <sheetView showGridLines="0" view="pageBreakPreview" zoomScale="80" zoomScaleNormal="120" zoomScaleSheetLayoutView="80" workbookViewId="0">
      <selection activeCell="F32" sqref="F32"/>
    </sheetView>
  </sheetViews>
  <sheetFormatPr baseColWidth="10" defaultColWidth="11.453125" defaultRowHeight="12.5"/>
  <cols>
    <col min="1" max="1" width="11.453125" style="29"/>
    <col min="2" max="2" width="48.26953125" style="29" customWidth="1"/>
    <col min="3" max="3" width="11.453125" style="29"/>
    <col min="4" max="5" width="11.7265625" style="29" customWidth="1"/>
    <col min="6" max="6" width="15" style="29" customWidth="1"/>
    <col min="7" max="7" width="15.26953125" style="29" customWidth="1"/>
    <col min="8" max="8" width="6.26953125" style="29" customWidth="1"/>
    <col min="9" max="9" width="11.453125" style="29"/>
    <col min="10" max="10" width="11.7265625" style="29" bestFit="1" customWidth="1"/>
    <col min="11" max="16384" width="11.453125" style="29"/>
  </cols>
  <sheetData>
    <row r="1" spans="1:7" ht="18.75" customHeight="1">
      <c r="B1" s="648" t="str">
        <f>+'PRES GENERAL MR'!A1</f>
        <v>IMPLEMENTACIÓN DE SOLUCIONES ENERGÉTICAS SOSTENIBLES CON FUENTES NO CONVENCIONALES, PARA LAS COMUNIDADES RURALES DEL MUNICIPIO DE PLATO, DEPARTAMENTO MAGDALENA.</v>
      </c>
      <c r="C1" s="648"/>
      <c r="D1" s="648"/>
      <c r="E1" s="648"/>
      <c r="F1" s="648"/>
      <c r="G1" s="648"/>
    </row>
    <row r="3" spans="1:7" ht="12.75" customHeight="1">
      <c r="B3" s="30" t="s">
        <v>651</v>
      </c>
      <c r="C3" s="31" t="str">
        <f>+'PRES GENERAL MR'!A30</f>
        <v>5.1</v>
      </c>
      <c r="D3" s="31"/>
      <c r="E3" s="31"/>
      <c r="F3" s="31"/>
      <c r="G3" s="32" t="s">
        <v>652</v>
      </c>
    </row>
    <row r="4" spans="1:7" ht="61.9" customHeight="1">
      <c r="B4" s="649" t="str">
        <f>+'PRES GENERAL MR'!B30</f>
        <v>Suministro e instalación de sistema de monitoreo y gestion energia equipos Nano o Microrred</v>
      </c>
      <c r="C4" s="655"/>
      <c r="D4" s="655"/>
      <c r="E4" s="656"/>
      <c r="G4" s="196" t="str">
        <f>+'PRES GENERAL MR'!C30</f>
        <v>UN</v>
      </c>
    </row>
    <row r="5" spans="1:7" ht="13">
      <c r="B5" s="34"/>
      <c r="G5" s="35"/>
    </row>
    <row r="6" spans="1:7" ht="13">
      <c r="B6" s="36" t="s">
        <v>653</v>
      </c>
    </row>
    <row r="7" spans="1:7" ht="13">
      <c r="A7" s="88" t="s">
        <v>138</v>
      </c>
      <c r="B7" s="37" t="s">
        <v>19</v>
      </c>
      <c r="C7" s="38" t="s">
        <v>284</v>
      </c>
      <c r="D7" s="38" t="s">
        <v>48</v>
      </c>
      <c r="E7" s="38" t="s">
        <v>410</v>
      </c>
      <c r="F7" s="38" t="s">
        <v>285</v>
      </c>
      <c r="G7" s="38" t="s">
        <v>286</v>
      </c>
    </row>
    <row r="8" spans="1:7" ht="23.5" customHeight="1">
      <c r="A8" s="89">
        <v>416</v>
      </c>
      <c r="B8" s="69" t="str">
        <f>VLOOKUP(A8,Materiales3[],3,FALSE)</f>
        <v>Rak de comunicaciones 19" de 9 RU Dimensiones: 600 x 488  x 523 mm (Ancho x Alto x Profundidad).</v>
      </c>
      <c r="C8" s="40" t="str">
        <f>VLOOKUP(A8,Materiales3[],4,FALSE)</f>
        <v>UN</v>
      </c>
      <c r="D8" s="40">
        <v>1</v>
      </c>
      <c r="E8" s="40">
        <f>VLOOKUP(A8,Materiales3[],5,FALSE)*D8</f>
        <v>18</v>
      </c>
      <c r="F8" s="42">
        <f>VLOOKUP(A8,Materiales3[],6,FALSE)</f>
        <v>0</v>
      </c>
      <c r="G8" s="42">
        <f>D8*F8</f>
        <v>0</v>
      </c>
    </row>
    <row r="9" spans="1:7" ht="14.5">
      <c r="A9" s="89">
        <v>417</v>
      </c>
      <c r="B9" s="69" t="str">
        <f>VLOOKUP(A9,Materiales3[],3,FALSE)</f>
        <v xml:space="preserve">Tuerca enjaulada o tipo canasta + tornillos </v>
      </c>
      <c r="C9" s="40" t="str">
        <f>VLOOKUP(A9,Materiales3[],4,FALSE)</f>
        <v>UN</v>
      </c>
      <c r="D9" s="40">
        <v>1</v>
      </c>
      <c r="E9" s="40">
        <f>VLOOKUP(A9,Materiales3[],5,FALSE)*D9</f>
        <v>0.5</v>
      </c>
      <c r="F9" s="42">
        <f>VLOOKUP(A9,Materiales3[],6,FALSE)</f>
        <v>0</v>
      </c>
      <c r="G9" s="42">
        <f t="shared" ref="G9:G19" si="0">D9*F9</f>
        <v>0</v>
      </c>
    </row>
    <row r="10" spans="1:7" ht="14.5">
      <c r="A10" s="89">
        <v>418</v>
      </c>
      <c r="B10" s="69" t="str">
        <f>VLOOKUP(A10,Materiales3[],3,FALSE)</f>
        <v>Organizador doble horizontal</v>
      </c>
      <c r="C10" s="40" t="str">
        <f>VLOOKUP(A10,Materiales3[],4,FALSE)</f>
        <v>UN</v>
      </c>
      <c r="D10" s="40">
        <v>1</v>
      </c>
      <c r="E10" s="104">
        <f>VLOOKUP(A10,Materiales3[],5,FALSE)*D10</f>
        <v>0.4</v>
      </c>
      <c r="F10" s="42">
        <f>VLOOKUP(A10,Materiales3[],6,FALSE)</f>
        <v>0</v>
      </c>
      <c r="G10" s="42">
        <f t="shared" si="0"/>
        <v>0</v>
      </c>
    </row>
    <row r="11" spans="1:7" ht="14.5">
      <c r="A11" s="89">
        <v>419</v>
      </c>
      <c r="B11" s="69" t="str">
        <f>VLOOKUP(A11,Materiales3[],3,FALSE)</f>
        <v>Tomacorriente Horizontal (PDU) de 8 Contactos</v>
      </c>
      <c r="C11" s="40" t="str">
        <f>VLOOKUP(A11,Materiales3[],4,FALSE)</f>
        <v>UN</v>
      </c>
      <c r="D11" s="40">
        <v>1</v>
      </c>
      <c r="E11" s="104">
        <f>VLOOKUP(A11,Materiales3[],5,FALSE)*D11</f>
        <v>1.1000000000000001</v>
      </c>
      <c r="F11" s="42">
        <f>VLOOKUP(A11,Materiales3[],6,FALSE)</f>
        <v>0</v>
      </c>
      <c r="G11" s="42">
        <f t="shared" si="0"/>
        <v>0</v>
      </c>
    </row>
    <row r="12" spans="1:7" ht="14.5">
      <c r="A12" s="89">
        <v>420</v>
      </c>
      <c r="B12" s="69" t="str">
        <f>VLOOKUP(A12,Materiales3[],3,FALSE)</f>
        <v>Bandeja para soportar equipos en Rack de 19" y 34 cm</v>
      </c>
      <c r="C12" s="40" t="str">
        <f>VLOOKUP(A12,Materiales3[],4,FALSE)</f>
        <v>UN</v>
      </c>
      <c r="D12" s="40">
        <v>1</v>
      </c>
      <c r="E12" s="104">
        <f>VLOOKUP(A12,Materiales3[],5,FALSE)*D12</f>
        <v>2</v>
      </c>
      <c r="F12" s="42">
        <f>VLOOKUP(A12,Materiales3[],6,FALSE)</f>
        <v>0</v>
      </c>
      <c r="G12" s="42">
        <f t="shared" si="0"/>
        <v>0</v>
      </c>
    </row>
    <row r="13" spans="1:7" ht="14.5">
      <c r="A13" s="89">
        <v>421</v>
      </c>
      <c r="B13" s="69" t="str">
        <f>VLOOKUP(A13,Materiales3[],3,FALSE)</f>
        <v>Switch de red 1RU POE 10/100/1000</v>
      </c>
      <c r="C13" s="40" t="str">
        <f>VLOOKUP(A13,Materiales3[],4,FALSE)</f>
        <v>UN</v>
      </c>
      <c r="D13" s="40">
        <v>1</v>
      </c>
      <c r="E13" s="104">
        <f>VLOOKUP(A13,Materiales3[],5,FALSE)*D13</f>
        <v>1.3</v>
      </c>
      <c r="F13" s="42">
        <f>VLOOKUP(A13,Materiales3[],6,FALSE)</f>
        <v>0</v>
      </c>
      <c r="G13" s="42">
        <f t="shared" si="0"/>
        <v>0</v>
      </c>
    </row>
    <row r="14" spans="1:7" ht="14.5">
      <c r="A14" s="89">
        <v>422</v>
      </c>
      <c r="B14" s="69" t="str">
        <f>VLOOKUP(A14,Materiales3[],3,FALSE)</f>
        <v>Patch cord Cat6 de de 1.5 Mt</v>
      </c>
      <c r="C14" s="40" t="str">
        <f>VLOOKUP(A14,Materiales3[],4,FALSE)</f>
        <v>UN</v>
      </c>
      <c r="D14" s="40">
        <v>4</v>
      </c>
      <c r="E14" s="104">
        <f>VLOOKUP(A14,Materiales3[],5,FALSE)*D14</f>
        <v>0.8</v>
      </c>
      <c r="F14" s="42">
        <f>VLOOKUP(A14,Materiales3[],6,FALSE)</f>
        <v>0</v>
      </c>
      <c r="G14" s="42">
        <f t="shared" si="0"/>
        <v>0</v>
      </c>
    </row>
    <row r="15" spans="1:7" ht="14.5">
      <c r="A15" s="89">
        <v>423</v>
      </c>
      <c r="B15" s="69" t="str">
        <f>VLOOKUP(A15,Materiales3[],3,FALSE)</f>
        <v xml:space="preserve">Equipo Cerbo Gx Monitoreo Nano - Microrred </v>
      </c>
      <c r="C15" s="40" t="str">
        <f>VLOOKUP(A15,Materiales3[],4,FALSE)</f>
        <v>UN</v>
      </c>
      <c r="D15" s="40">
        <v>1</v>
      </c>
      <c r="E15" s="104">
        <f>VLOOKUP(A15,Materiales3[],5,FALSE)*D15</f>
        <v>1.3</v>
      </c>
      <c r="F15" s="42">
        <f>VLOOKUP(A15,Materiales3[],6,FALSE)</f>
        <v>0</v>
      </c>
      <c r="G15" s="42">
        <f t="shared" si="0"/>
        <v>0</v>
      </c>
    </row>
    <row r="16" spans="1:7" ht="14.5">
      <c r="A16" s="89">
        <v>424</v>
      </c>
      <c r="B16" s="69" t="str">
        <f>VLOOKUP(A16,Materiales3[],3,FALSE)</f>
        <v>Cables de conexión VE.Direct de 5 Mt</v>
      </c>
      <c r="C16" s="40" t="str">
        <f>VLOOKUP(A16,Materiales3[],4,FALSE)</f>
        <v>UN</v>
      </c>
      <c r="D16" s="40">
        <v>3</v>
      </c>
      <c r="E16" s="104">
        <f>VLOOKUP(A16,Materiales3[],5,FALSE)*D16</f>
        <v>0.89999999999999991</v>
      </c>
      <c r="F16" s="42">
        <f>VLOOKUP(A16,Materiales3[],6,FALSE)</f>
        <v>0</v>
      </c>
      <c r="G16" s="42">
        <f t="shared" si="0"/>
        <v>0</v>
      </c>
    </row>
    <row r="17" spans="1:7" ht="14.5">
      <c r="A17" s="89">
        <v>425</v>
      </c>
      <c r="B17" s="69" t="str">
        <f>VLOOKUP(A17,Materiales3[],3,FALSE)</f>
        <v>Cable VE.Can to CAN-bus BMS cable</v>
      </c>
      <c r="C17" s="40" t="str">
        <f>VLOOKUP(A17,Materiales3[],4,FALSE)</f>
        <v>UN</v>
      </c>
      <c r="D17" s="40">
        <v>2</v>
      </c>
      <c r="E17" s="104">
        <f>VLOOKUP(A17,Materiales3[],5,FALSE)*D17</f>
        <v>0.2</v>
      </c>
      <c r="F17" s="42">
        <f>VLOOKUP(A17,Materiales3[],6,FALSE)</f>
        <v>0</v>
      </c>
      <c r="G17" s="42">
        <f t="shared" si="0"/>
        <v>0</v>
      </c>
    </row>
    <row r="18" spans="1:7" ht="14.5">
      <c r="A18" s="89">
        <v>426</v>
      </c>
      <c r="B18" s="69" t="str">
        <f>VLOOKUP(A18,Materiales3[],3,FALSE)</f>
        <v>Medidor PPKW CLSM-3F4H-CT BASE CL730D25 GPRS</v>
      </c>
      <c r="C18" s="40" t="str">
        <f>VLOOKUP(A18,Materiales3[],4,FALSE)</f>
        <v>UN</v>
      </c>
      <c r="D18" s="40">
        <v>1</v>
      </c>
      <c r="E18" s="104">
        <f>VLOOKUP(A18,Materiales3[],5,FALSE)*D18</f>
        <v>0.8</v>
      </c>
      <c r="F18" s="42">
        <f>VLOOKUP(A18,Materiales3[],6,FALSE)</f>
        <v>0</v>
      </c>
      <c r="G18" s="42">
        <f t="shared" si="0"/>
        <v>0</v>
      </c>
    </row>
    <row r="19" spans="1:7" ht="23.5" customHeight="1">
      <c r="A19" s="89">
        <v>427</v>
      </c>
      <c r="B19" s="69" t="str">
        <f>VLOOKUP(A19,Materiales3[],3,FALSE)</f>
        <v>Gabinete Medidor macromedicion  + CTs + Accesorios</v>
      </c>
      <c r="C19" s="40" t="str">
        <f>VLOOKUP(A19,Materiales3[],4,FALSE)</f>
        <v>UN</v>
      </c>
      <c r="D19" s="40">
        <v>1</v>
      </c>
      <c r="E19" s="104">
        <f>VLOOKUP(A19,Materiales3[],5,FALSE)*D19</f>
        <v>1.8</v>
      </c>
      <c r="F19" s="42">
        <f>VLOOKUP(A19,Materiales3[],6,FALSE)</f>
        <v>0</v>
      </c>
      <c r="G19" s="42">
        <f t="shared" si="0"/>
        <v>0</v>
      </c>
    </row>
    <row r="20" spans="1:7" ht="14.5">
      <c r="A20" s="89"/>
      <c r="B20" s="69"/>
      <c r="C20" s="40"/>
      <c r="D20" s="104"/>
      <c r="E20" s="104"/>
      <c r="F20" s="42"/>
      <c r="G20" s="42"/>
    </row>
    <row r="21" spans="1:7" ht="13">
      <c r="D21" s="47"/>
      <c r="E21" s="47"/>
      <c r="F21" s="48" t="s">
        <v>654</v>
      </c>
      <c r="G21" s="49">
        <f>SUM(G8:G20)</f>
        <v>0</v>
      </c>
    </row>
    <row r="22" spans="1:7">
      <c r="G22" s="73"/>
    </row>
    <row r="23" spans="1:7" ht="13">
      <c r="B23" s="50" t="s">
        <v>655</v>
      </c>
      <c r="G23" s="74"/>
    </row>
    <row r="24" spans="1:7" ht="13">
      <c r="A24" s="88" t="s">
        <v>138</v>
      </c>
      <c r="B24" s="37" t="s">
        <v>19</v>
      </c>
      <c r="C24" s="38" t="s">
        <v>665</v>
      </c>
      <c r="D24" s="38" t="s">
        <v>656</v>
      </c>
      <c r="E24" s="38"/>
      <c r="F24" s="38" t="s">
        <v>21</v>
      </c>
      <c r="G24" s="38" t="s">
        <v>286</v>
      </c>
    </row>
    <row r="25" spans="1:7" ht="14.5">
      <c r="A25" s="89">
        <v>1</v>
      </c>
      <c r="B25" s="43" t="str">
        <f>VLOOKUP(A25,Equipoyherramienta[],2,FALSE)</f>
        <v>Herramienta menor</v>
      </c>
      <c r="C25" s="44" t="str">
        <f>VLOOKUP(A25,Equipoyherramienta[],3,FALSE)</f>
        <v>UN</v>
      </c>
      <c r="D25" s="51"/>
      <c r="E25" s="51"/>
      <c r="F25" s="71">
        <v>2.42</v>
      </c>
      <c r="G25" s="51">
        <f>ROUND(D25/F25,0)</f>
        <v>0</v>
      </c>
    </row>
    <row r="26" spans="1:7">
      <c r="B26" s="43"/>
      <c r="C26" s="44"/>
      <c r="D26" s="46"/>
      <c r="E26" s="46"/>
      <c r="F26" s="52"/>
      <c r="G26" s="53"/>
    </row>
    <row r="27" spans="1:7">
      <c r="B27" s="43"/>
      <c r="C27" s="44"/>
      <c r="D27" s="46"/>
      <c r="E27" s="46"/>
      <c r="F27" s="52"/>
      <c r="G27" s="53"/>
    </row>
    <row r="28" spans="1:7" ht="13">
      <c r="D28" s="47"/>
      <c r="E28" s="47"/>
      <c r="F28" s="48" t="s">
        <v>654</v>
      </c>
      <c r="G28" s="49">
        <f>SUM(G25:G27)</f>
        <v>0</v>
      </c>
    </row>
    <row r="29" spans="1:7" ht="13">
      <c r="D29" s="47"/>
      <c r="E29" s="47"/>
      <c r="F29" s="47"/>
      <c r="G29" s="54"/>
    </row>
    <row r="30" spans="1:7" ht="13">
      <c r="B30" s="36" t="s">
        <v>657</v>
      </c>
      <c r="G30" s="55"/>
    </row>
    <row r="31" spans="1:7" ht="13">
      <c r="A31" s="88" t="s">
        <v>138</v>
      </c>
      <c r="B31" s="37" t="s">
        <v>19</v>
      </c>
      <c r="C31" s="38" t="s">
        <v>284</v>
      </c>
      <c r="D31" s="38" t="s">
        <v>410</v>
      </c>
      <c r="E31" s="38"/>
      <c r="F31" s="38" t="s">
        <v>666</v>
      </c>
      <c r="G31" s="56" t="s">
        <v>286</v>
      </c>
    </row>
    <row r="32" spans="1:7" ht="58.9" customHeight="1">
      <c r="A32" s="89">
        <v>6</v>
      </c>
      <c r="B32" s="57" t="str">
        <f>VLOOKUP(A32,Transp.[],2,FALSE)</f>
        <v>Carga terrestre desde Barranquilla hasta Usuario, incluye cargues, descargues, cruces de río, transporte semoviente, transporte en vehículo de carga pesada y cualquier otro tranposte.</v>
      </c>
      <c r="C32" s="40" t="s">
        <v>667</v>
      </c>
      <c r="D32" s="41">
        <f>SUM(E8:E20)</f>
        <v>29.1</v>
      </c>
      <c r="E32" s="41"/>
      <c r="F32" s="59">
        <f>VLOOKUP(A32,Transp.[],6,FALSE)</f>
        <v>0</v>
      </c>
      <c r="G32" s="59">
        <f>D32*F32</f>
        <v>0</v>
      </c>
    </row>
    <row r="33" spans="1:7" ht="13.15" customHeight="1">
      <c r="A33" s="89"/>
      <c r="B33" s="57"/>
      <c r="C33" s="40"/>
      <c r="D33" s="41"/>
      <c r="E33" s="41"/>
      <c r="F33" s="59"/>
      <c r="G33" s="59"/>
    </row>
    <row r="34" spans="1:7" ht="13.15" customHeight="1">
      <c r="A34" s="89"/>
      <c r="B34" s="57"/>
      <c r="C34" s="40"/>
      <c r="D34" s="41"/>
      <c r="E34" s="41"/>
      <c r="F34" s="59"/>
      <c r="G34" s="59"/>
    </row>
    <row r="35" spans="1:7" ht="13">
      <c r="D35" s="47"/>
      <c r="E35" s="47"/>
      <c r="F35" s="61" t="s">
        <v>654</v>
      </c>
      <c r="G35" s="49">
        <f>SUM(G32:G34)</f>
        <v>0</v>
      </c>
    </row>
    <row r="37" spans="1:7" ht="13">
      <c r="B37" s="36" t="s">
        <v>661</v>
      </c>
      <c r="D37" s="62"/>
      <c r="E37" s="62"/>
      <c r="F37" s="63"/>
      <c r="G37" s="55"/>
    </row>
    <row r="38" spans="1:7" s="47" customFormat="1" ht="13">
      <c r="A38" s="88" t="s">
        <v>138</v>
      </c>
      <c r="B38" s="38" t="s">
        <v>19</v>
      </c>
      <c r="C38" s="38" t="s">
        <v>662</v>
      </c>
      <c r="D38" s="38" t="s">
        <v>663</v>
      </c>
      <c r="E38" s="38"/>
      <c r="F38" s="38" t="s">
        <v>21</v>
      </c>
      <c r="G38" s="56" t="s">
        <v>286</v>
      </c>
    </row>
    <row r="39" spans="1:7" ht="14.5">
      <c r="A39" s="89">
        <v>1</v>
      </c>
      <c r="B39" s="64" t="str">
        <f>VLOOKUP(A39,ManoObra[],2,FALSE)</f>
        <v>Electricista</v>
      </c>
      <c r="C39" s="65"/>
      <c r="D39" s="52"/>
      <c r="E39" s="52"/>
      <c r="F39" s="71">
        <f>+F25/3.35</f>
        <v>0.72238805970149245</v>
      </c>
      <c r="G39" s="51">
        <f>ROUND(C39*D39/F39,0)</f>
        <v>0</v>
      </c>
    </row>
    <row r="40" spans="1:7" ht="14.5">
      <c r="A40" s="89">
        <v>2</v>
      </c>
      <c r="B40" s="64" t="str">
        <f>VLOOKUP(A40,ManoObra[],2,FALSE)</f>
        <v>Ayudante</v>
      </c>
      <c r="C40" s="65"/>
      <c r="D40" s="52"/>
      <c r="E40" s="52"/>
      <c r="F40" s="71">
        <f>+F25/2.35</f>
        <v>1.0297872340425531</v>
      </c>
      <c r="G40" s="51">
        <f>ROUND(C40*D40/F40,0)</f>
        <v>0</v>
      </c>
    </row>
    <row r="41" spans="1:7" ht="14.5">
      <c r="A41" s="89"/>
      <c r="B41" s="70"/>
      <c r="C41" s="65"/>
      <c r="D41" s="52"/>
      <c r="E41" s="52"/>
      <c r="F41" s="45"/>
      <c r="G41" s="51"/>
    </row>
    <row r="42" spans="1:7" ht="13">
      <c r="D42" s="47"/>
      <c r="E42" s="47"/>
      <c r="F42" s="61" t="s">
        <v>654</v>
      </c>
      <c r="G42" s="75">
        <f>SUM(G39:G41)</f>
        <v>0</v>
      </c>
    </row>
    <row r="43" spans="1:7" ht="13">
      <c r="D43" s="47"/>
      <c r="E43" s="47"/>
      <c r="G43" s="55"/>
    </row>
    <row r="44" spans="1:7" ht="12.75" customHeight="1">
      <c r="B44" s="47"/>
      <c r="D44" s="652" t="s">
        <v>664</v>
      </c>
      <c r="E44" s="654"/>
      <c r="F44" s="653"/>
      <c r="G44" s="66">
        <f>G21+G28+G35+G42</f>
        <v>0</v>
      </c>
    </row>
  </sheetData>
  <mergeCells count="3">
    <mergeCell ref="B1:G1"/>
    <mergeCell ref="B4:E4"/>
    <mergeCell ref="D44:F4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legacy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EB976-FF41-48D5-81C9-5AAAD2580DF6}">
  <sheetPr codeName="Hoja4">
    <tabColor theme="4" tint="0.59999389629810485"/>
    <pageSetUpPr fitToPage="1"/>
  </sheetPr>
  <dimension ref="A1:F69"/>
  <sheetViews>
    <sheetView view="pageBreakPreview" topLeftCell="A40" zoomScale="70" zoomScaleNormal="70" zoomScaleSheetLayoutView="70" workbookViewId="0">
      <selection activeCell="C44" sqref="C44:C46"/>
    </sheetView>
  </sheetViews>
  <sheetFormatPr baseColWidth="10" defaultColWidth="11.453125" defaultRowHeight="12.5"/>
  <cols>
    <col min="1" max="1" width="9.7265625" customWidth="1"/>
    <col min="2" max="2" width="52.7265625" customWidth="1"/>
    <col min="3" max="3" width="23.1796875" customWidth="1"/>
    <col min="4" max="4" width="25.26953125" customWidth="1"/>
    <col min="5" max="5" width="18.81640625" customWidth="1"/>
    <col min="6" max="6" width="18.54296875" customWidth="1"/>
  </cols>
  <sheetData>
    <row r="1" spans="1:6" ht="34.15" customHeight="1">
      <c r="A1" s="667" t="str">
        <f>+'PRES GENERAL MR'!A1</f>
        <v>IMPLEMENTACIÓN DE SOLUCIONES ENERGÉTICAS SOSTENIBLES CON FUENTES NO CONVENCIONALES, PARA LAS COMUNIDADES RURALES DEL MUNICIPIO DE PLATO, DEPARTAMENTO MAGDALENA.</v>
      </c>
      <c r="B1" s="667"/>
      <c r="C1" s="667"/>
      <c r="D1" s="667"/>
      <c r="E1" s="667"/>
      <c r="F1" s="667"/>
    </row>
    <row r="2" spans="1:6" ht="13">
      <c r="A2" s="675" t="s">
        <v>112</v>
      </c>
      <c r="B2" s="675"/>
      <c r="C2" s="675"/>
      <c r="D2" s="675"/>
      <c r="E2" s="675"/>
      <c r="F2" s="675"/>
    </row>
    <row r="3" spans="1:6" ht="26.5" customHeight="1">
      <c r="A3" s="92" t="s">
        <v>113</v>
      </c>
      <c r="B3" s="92" t="s">
        <v>114</v>
      </c>
      <c r="C3" s="93" t="s">
        <v>115</v>
      </c>
      <c r="D3" s="93" t="s">
        <v>116</v>
      </c>
      <c r="E3" s="93" t="s">
        <v>117</v>
      </c>
      <c r="F3" s="102" t="s">
        <v>118</v>
      </c>
    </row>
    <row r="4" spans="1:6" ht="13">
      <c r="A4" s="90">
        <v>1</v>
      </c>
      <c r="B4" s="101" t="s">
        <v>119</v>
      </c>
      <c r="C4" s="142" t="s">
        <v>120</v>
      </c>
      <c r="D4" s="142" t="s">
        <v>121</v>
      </c>
      <c r="E4" s="11"/>
      <c r="F4" s="143"/>
    </row>
    <row r="5" spans="1:6" ht="13">
      <c r="A5" s="90">
        <v>2</v>
      </c>
      <c r="B5" s="141" t="s">
        <v>122</v>
      </c>
      <c r="C5" s="142" t="s">
        <v>121</v>
      </c>
      <c r="D5" s="142" t="s">
        <v>123</v>
      </c>
      <c r="E5" s="11"/>
      <c r="F5" s="143"/>
    </row>
    <row r="6" spans="1:6" ht="13">
      <c r="A6" s="90">
        <v>3</v>
      </c>
      <c r="B6" s="141" t="s">
        <v>122</v>
      </c>
      <c r="C6" s="142" t="s">
        <v>120</v>
      </c>
      <c r="D6" s="142" t="s">
        <v>123</v>
      </c>
      <c r="E6" s="11"/>
      <c r="F6" s="143"/>
    </row>
    <row r="7" spans="1:6" ht="13">
      <c r="A7" s="90">
        <v>4</v>
      </c>
      <c r="B7" s="101" t="s">
        <v>124</v>
      </c>
      <c r="C7" s="142" t="s">
        <v>121</v>
      </c>
      <c r="D7" s="142" t="s">
        <v>123</v>
      </c>
      <c r="E7" s="11"/>
      <c r="F7" s="144"/>
    </row>
    <row r="8" spans="1:6" ht="31.9" customHeight="1">
      <c r="A8" s="90" t="s">
        <v>125</v>
      </c>
      <c r="B8" s="175" t="s">
        <v>126</v>
      </c>
      <c r="C8" s="145" t="s">
        <v>127</v>
      </c>
      <c r="D8" s="146" t="s">
        <v>128</v>
      </c>
      <c r="E8" s="147"/>
      <c r="F8" s="148"/>
    </row>
    <row r="9" spans="1:6" ht="25">
      <c r="A9" s="90" t="s">
        <v>129</v>
      </c>
      <c r="B9" s="175" t="s">
        <v>130</v>
      </c>
      <c r="C9" s="145" t="s">
        <v>131</v>
      </c>
      <c r="D9" s="146" t="s">
        <v>132</v>
      </c>
      <c r="E9" s="147"/>
      <c r="F9" s="148"/>
    </row>
    <row r="10" spans="1:6" ht="52">
      <c r="A10" s="90">
        <v>6</v>
      </c>
      <c r="B10" s="176" t="s">
        <v>133</v>
      </c>
      <c r="C10" s="142" t="s">
        <v>121</v>
      </c>
      <c r="D10" s="146" t="s">
        <v>128</v>
      </c>
      <c r="E10" s="11"/>
      <c r="F10" s="144"/>
    </row>
    <row r="11" spans="1:6" ht="13">
      <c r="A11" s="90">
        <v>7</v>
      </c>
      <c r="B11" s="103" t="s">
        <v>134</v>
      </c>
      <c r="C11" s="146" t="s">
        <v>135</v>
      </c>
      <c r="D11" s="146" t="s">
        <v>128</v>
      </c>
      <c r="E11" s="147"/>
      <c r="F11" s="144"/>
    </row>
    <row r="18" spans="1:5">
      <c r="B18" s="139"/>
    </row>
    <row r="19" spans="1:5">
      <c r="B19" s="140"/>
    </row>
    <row r="21" spans="1:5" ht="18.5">
      <c r="A21" s="668" t="s">
        <v>136</v>
      </c>
      <c r="B21" s="669"/>
      <c r="C21" s="669"/>
      <c r="D21" s="669"/>
      <c r="E21" s="670"/>
    </row>
    <row r="22" spans="1:5" ht="15.5">
      <c r="A22" s="149" t="s">
        <v>137</v>
      </c>
      <c r="B22" s="150" t="s">
        <v>138</v>
      </c>
      <c r="C22" s="150" t="s">
        <v>139</v>
      </c>
      <c r="D22" s="150" t="s">
        <v>140</v>
      </c>
      <c r="E22" s="151" t="s">
        <v>141</v>
      </c>
    </row>
    <row r="23" spans="1:5" ht="15.5">
      <c r="A23" s="252">
        <v>2</v>
      </c>
      <c r="B23" s="243" t="s">
        <v>142</v>
      </c>
      <c r="C23" s="243" t="s">
        <v>143</v>
      </c>
      <c r="D23" s="242" t="s">
        <v>144</v>
      </c>
      <c r="E23" s="152"/>
    </row>
    <row r="24" spans="1:5" ht="15.5">
      <c r="A24" s="252">
        <v>3</v>
      </c>
      <c r="B24" s="243" t="s">
        <v>145</v>
      </c>
      <c r="C24" s="243" t="s">
        <v>143</v>
      </c>
      <c r="D24" s="242" t="s">
        <v>146</v>
      </c>
      <c r="E24" s="152"/>
    </row>
    <row r="25" spans="1:5" ht="15.5">
      <c r="A25" s="252">
        <v>5</v>
      </c>
      <c r="B25" s="243" t="s">
        <v>147</v>
      </c>
      <c r="C25" s="243" t="s">
        <v>143</v>
      </c>
      <c r="D25" s="242" t="s">
        <v>148</v>
      </c>
      <c r="E25" s="152"/>
    </row>
    <row r="26" spans="1:5" ht="29">
      <c r="A26" s="253">
        <v>7</v>
      </c>
      <c r="B26" s="254" t="s">
        <v>149</v>
      </c>
      <c r="C26" s="254" t="s">
        <v>143</v>
      </c>
      <c r="D26" s="255" t="s">
        <v>150</v>
      </c>
      <c r="E26" s="152"/>
    </row>
    <row r="27" spans="1:5" ht="29">
      <c r="A27" s="253">
        <v>8</v>
      </c>
      <c r="B27" s="254" t="s">
        <v>151</v>
      </c>
      <c r="C27" s="254" t="s">
        <v>143</v>
      </c>
      <c r="D27" s="255" t="s">
        <v>152</v>
      </c>
      <c r="E27" s="152"/>
    </row>
    <row r="28" spans="1:5" ht="29">
      <c r="A28" s="253">
        <v>11</v>
      </c>
      <c r="B28" s="254" t="s">
        <v>153</v>
      </c>
      <c r="C28" s="254" t="s">
        <v>143</v>
      </c>
      <c r="D28" s="255" t="s">
        <v>154</v>
      </c>
      <c r="E28" s="152"/>
    </row>
    <row r="29" spans="1:5" ht="21" customHeight="1">
      <c r="A29" s="253">
        <v>13</v>
      </c>
      <c r="B29" s="243" t="s">
        <v>155</v>
      </c>
      <c r="C29" s="243" t="s">
        <v>143</v>
      </c>
      <c r="D29" s="256" t="s">
        <v>156</v>
      </c>
      <c r="E29" s="152"/>
    </row>
    <row r="30" spans="1:5" ht="15.5">
      <c r="D30" s="153" t="s">
        <v>157</v>
      </c>
      <c r="E30" s="152" t="e">
        <f>+AVERAGE(E23:E29)*(1+5.23%)</f>
        <v>#DIV/0!</v>
      </c>
    </row>
    <row r="31" spans="1:5" ht="15.5">
      <c r="D31" s="153" t="s">
        <v>158</v>
      </c>
      <c r="E31" s="154">
        <f>79.1+E68</f>
        <v>119.44</v>
      </c>
    </row>
    <row r="32" spans="1:5" ht="25.15" customHeight="1">
      <c r="D32" s="153" t="s">
        <v>159</v>
      </c>
      <c r="E32" s="177" t="s">
        <v>160</v>
      </c>
    </row>
    <row r="33" spans="1:6" ht="15.5">
      <c r="D33" s="153" t="s">
        <v>161</v>
      </c>
      <c r="E33" s="152" t="e">
        <f>ROUND(E30*E31/1400,0)</f>
        <v>#DIV/0!</v>
      </c>
    </row>
    <row r="34" spans="1:6" ht="25.15" customHeight="1">
      <c r="A34" s="672"/>
      <c r="B34" s="672"/>
      <c r="C34" s="672"/>
      <c r="D34" s="672"/>
      <c r="E34" s="672"/>
      <c r="F34" s="672"/>
    </row>
    <row r="38" spans="1:6" ht="13">
      <c r="B38" s="250" t="s">
        <v>128</v>
      </c>
      <c r="C38" s="250" t="s">
        <v>162</v>
      </c>
      <c r="D38" s="250" t="s">
        <v>163</v>
      </c>
      <c r="E38" s="250" t="s">
        <v>7</v>
      </c>
    </row>
    <row r="39" spans="1:6">
      <c r="B39" s="257" t="s">
        <v>164</v>
      </c>
      <c r="C39" s="332">
        <f>+E68</f>
        <v>40.340000000000003</v>
      </c>
      <c r="D39" s="333" t="e">
        <f>+E30</f>
        <v>#DIV/0!</v>
      </c>
      <c r="E39" s="334" t="e">
        <f>+C39*D39</f>
        <v>#DIV/0!</v>
      </c>
    </row>
    <row r="40" spans="1:6">
      <c r="D40" s="335" t="s">
        <v>165</v>
      </c>
      <c r="E40" s="336" t="s">
        <v>166</v>
      </c>
    </row>
    <row r="41" spans="1:6" ht="13">
      <c r="D41" s="337" t="s">
        <v>167</v>
      </c>
      <c r="E41" s="338" t="e">
        <f>+E39/500</f>
        <v>#DIV/0!</v>
      </c>
    </row>
    <row r="43" spans="1:6" ht="13">
      <c r="B43" s="673" t="s">
        <v>168</v>
      </c>
      <c r="C43" s="674"/>
    </row>
    <row r="44" spans="1:6">
      <c r="B44" s="248" t="s">
        <v>169</v>
      </c>
      <c r="C44" s="174"/>
    </row>
    <row r="45" spans="1:6">
      <c r="B45" s="248" t="s">
        <v>170</v>
      </c>
      <c r="C45" s="173"/>
    </row>
    <row r="46" spans="1:6">
      <c r="B46" s="248" t="s">
        <v>171</v>
      </c>
      <c r="C46" s="339"/>
    </row>
    <row r="47" spans="1:6" ht="13">
      <c r="B47" s="340" t="s">
        <v>172</v>
      </c>
      <c r="C47" s="341" t="e">
        <f>+C45/(C46*C44)</f>
        <v>#DIV/0!</v>
      </c>
    </row>
    <row r="48" spans="1:6" ht="13">
      <c r="B48" s="342" t="s">
        <v>173</v>
      </c>
      <c r="C48" s="341" t="e">
        <f>+C47*E69</f>
        <v>#DIV/0!</v>
      </c>
    </row>
    <row r="50" spans="1:5" ht="13">
      <c r="D50" s="665" t="s">
        <v>174</v>
      </c>
      <c r="E50" s="671"/>
    </row>
    <row r="51" spans="1:5" ht="13">
      <c r="A51" s="665" t="s">
        <v>175</v>
      </c>
      <c r="B51" s="666"/>
      <c r="C51" s="666"/>
      <c r="D51" s="250" t="s">
        <v>176</v>
      </c>
      <c r="E51" s="250" t="s">
        <v>177</v>
      </c>
    </row>
    <row r="52" spans="1:5">
      <c r="A52" s="662" t="s">
        <v>12</v>
      </c>
      <c r="B52" s="249" t="s">
        <v>178</v>
      </c>
      <c r="C52" s="248">
        <v>58</v>
      </c>
      <c r="D52" s="251">
        <v>22.3</v>
      </c>
      <c r="E52" s="248">
        <v>0.94899999999999995</v>
      </c>
    </row>
    <row r="53" spans="1:5">
      <c r="A53" s="663"/>
      <c r="B53" s="249" t="s">
        <v>179</v>
      </c>
      <c r="C53" s="248">
        <v>56</v>
      </c>
      <c r="D53" s="251">
        <v>9.6</v>
      </c>
      <c r="E53" s="248">
        <v>1.458</v>
      </c>
    </row>
    <row r="54" spans="1:5">
      <c r="A54" s="663"/>
      <c r="B54" s="249" t="s">
        <v>180</v>
      </c>
      <c r="C54" s="248">
        <v>48</v>
      </c>
      <c r="D54" s="251">
        <v>53.9</v>
      </c>
      <c r="E54" s="248">
        <v>1.0089999999999999</v>
      </c>
    </row>
    <row r="55" spans="1:5">
      <c r="A55" s="663"/>
      <c r="B55" s="249" t="s">
        <v>181</v>
      </c>
      <c r="C55" s="248">
        <v>1</v>
      </c>
      <c r="D55" s="248">
        <v>5.8</v>
      </c>
      <c r="E55" s="248">
        <v>0.50800000000000001</v>
      </c>
    </row>
    <row r="56" spans="1:5">
      <c r="A56" s="663"/>
      <c r="B56" s="249" t="s">
        <v>182</v>
      </c>
      <c r="C56" s="248">
        <v>90</v>
      </c>
      <c r="D56" s="248">
        <v>57.6</v>
      </c>
      <c r="E56" s="248">
        <v>0.56999999999999995</v>
      </c>
    </row>
    <row r="57" spans="1:5">
      <c r="A57" s="663"/>
      <c r="B57" s="249" t="s">
        <v>183</v>
      </c>
      <c r="C57" s="248">
        <v>137</v>
      </c>
      <c r="D57" s="248">
        <v>49.4</v>
      </c>
      <c r="E57" s="248">
        <v>1.62</v>
      </c>
    </row>
    <row r="58" spans="1:5">
      <c r="A58" s="663"/>
      <c r="B58" s="249" t="s">
        <v>184</v>
      </c>
      <c r="C58" s="248">
        <v>18</v>
      </c>
      <c r="D58" s="248">
        <v>30.8</v>
      </c>
      <c r="E58" s="248">
        <v>0.71</v>
      </c>
    </row>
    <row r="59" spans="1:5">
      <c r="A59" s="663"/>
      <c r="B59" s="249" t="s">
        <v>185</v>
      </c>
      <c r="C59" s="248">
        <v>42</v>
      </c>
      <c r="D59" s="248">
        <v>34.4</v>
      </c>
      <c r="E59" s="248">
        <v>0.52</v>
      </c>
    </row>
    <row r="60" spans="1:5">
      <c r="A60" s="663"/>
      <c r="B60" s="249" t="s">
        <v>186</v>
      </c>
      <c r="C60" s="248">
        <v>84</v>
      </c>
      <c r="D60" s="248">
        <v>53.9</v>
      </c>
      <c r="E60" s="248">
        <v>1.5269999999999999</v>
      </c>
    </row>
    <row r="61" spans="1:5">
      <c r="A61" s="663"/>
      <c r="B61" s="249" t="s">
        <v>187</v>
      </c>
      <c r="C61" s="248">
        <v>11</v>
      </c>
      <c r="D61" s="248">
        <v>49</v>
      </c>
      <c r="E61" s="248">
        <v>0.48</v>
      </c>
    </row>
    <row r="62" spans="1:5">
      <c r="A62" s="663"/>
      <c r="B62" s="249" t="s">
        <v>188</v>
      </c>
      <c r="C62" s="248">
        <v>41</v>
      </c>
      <c r="D62" s="248">
        <v>23.9</v>
      </c>
      <c r="E62" s="248">
        <v>0.81499999999999995</v>
      </c>
    </row>
    <row r="63" spans="1:5">
      <c r="A63" s="664"/>
      <c r="B63" s="249" t="s">
        <v>189</v>
      </c>
      <c r="C63" s="248">
        <v>18</v>
      </c>
      <c r="D63" s="248">
        <v>53.3</v>
      </c>
      <c r="E63" s="248">
        <v>1.24</v>
      </c>
    </row>
    <row r="64" spans="1:5">
      <c r="A64" s="662" t="s">
        <v>13</v>
      </c>
      <c r="B64" s="249" t="s">
        <v>190</v>
      </c>
      <c r="C64" s="248">
        <v>29</v>
      </c>
      <c r="D64" s="248">
        <v>35.200000000000003</v>
      </c>
      <c r="E64" s="248">
        <v>0.76300000000000001</v>
      </c>
    </row>
    <row r="65" spans="1:5">
      <c r="A65" s="663"/>
      <c r="B65" s="249" t="s">
        <v>191</v>
      </c>
      <c r="C65" s="248">
        <v>22</v>
      </c>
      <c r="D65" s="248">
        <v>8.1</v>
      </c>
      <c r="E65" s="248">
        <v>0.45</v>
      </c>
    </row>
    <row r="66" spans="1:5">
      <c r="A66" s="664"/>
      <c r="B66" s="249" t="s">
        <v>192</v>
      </c>
      <c r="C66" s="248">
        <v>5</v>
      </c>
      <c r="D66" s="248">
        <v>8.9</v>
      </c>
      <c r="E66" s="248">
        <v>0.71</v>
      </c>
    </row>
    <row r="67" spans="1:5" ht="13">
      <c r="B67" s="343" t="s">
        <v>7</v>
      </c>
      <c r="C67" s="344">
        <f>SUM(C52:C66)</f>
        <v>660</v>
      </c>
      <c r="D67" s="344"/>
      <c r="E67" s="345" t="s">
        <v>193</v>
      </c>
    </row>
    <row r="68" spans="1:5" ht="13">
      <c r="D68" s="172" t="s">
        <v>194</v>
      </c>
      <c r="E68" s="344">
        <f>SUMPRODUCT(C52:C66,D52:D66)/$C$67</f>
        <v>40.340000000000003</v>
      </c>
    </row>
    <row r="69" spans="1:5" ht="13">
      <c r="D69" s="25" t="s">
        <v>195</v>
      </c>
      <c r="E69" s="344">
        <f>SUMPRODUCT(C52:C66,E52:E66)/$C$67</f>
        <v>1.0884090909090907</v>
      </c>
    </row>
  </sheetData>
  <autoFilter ref="B38:C45" xr:uid="{155EB976-FF41-48D5-81C9-5AAAD2580DF6}"/>
  <mergeCells count="9">
    <mergeCell ref="A52:A63"/>
    <mergeCell ref="A64:A66"/>
    <mergeCell ref="A51:C51"/>
    <mergeCell ref="A1:F1"/>
    <mergeCell ref="A21:E21"/>
    <mergeCell ref="D50:E50"/>
    <mergeCell ref="A34:F34"/>
    <mergeCell ref="B43:C43"/>
    <mergeCell ref="A2:F2"/>
  </mergeCells>
  <phoneticPr fontId="32" type="noConversion"/>
  <printOptions horizontalCentered="1"/>
  <pageMargins left="0.70866141732283472" right="0.70866141732283472" top="0.74803149606299213" bottom="0.74803149606299213" header="0.31496062992125984" footer="0.31496062992125984"/>
  <pageSetup scale="42" orientation="landscape"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2772-176C-45AE-B6CD-DF3304E80C69}">
  <sheetPr codeName="Hoja43">
    <tabColor theme="6" tint="0.59999389629810485"/>
    <pageSetUpPr fitToPage="1"/>
  </sheetPr>
  <dimension ref="A1:H452"/>
  <sheetViews>
    <sheetView topLeftCell="A429" zoomScale="60" zoomScaleNormal="60" zoomScaleSheetLayoutView="70" workbookViewId="0">
      <selection activeCell="I453" sqref="A453:XFD485"/>
    </sheetView>
  </sheetViews>
  <sheetFormatPr baseColWidth="10" defaultColWidth="11.453125" defaultRowHeight="14"/>
  <cols>
    <col min="1" max="1" width="16.26953125" style="441" bestFit="1" customWidth="1"/>
    <col min="2" max="2" width="38.453125" style="441" bestFit="1" customWidth="1"/>
    <col min="3" max="3" width="79.81640625" style="441" customWidth="1"/>
    <col min="4" max="4" width="13.1796875" style="441" customWidth="1"/>
    <col min="5" max="5" width="13.81640625" style="441" customWidth="1"/>
    <col min="6" max="6" width="22.81640625" style="441" bestFit="1" customWidth="1"/>
    <col min="7" max="7" width="23.26953125" style="441" bestFit="1" customWidth="1"/>
    <col min="8" max="8" width="28.1796875" style="442" bestFit="1" customWidth="1"/>
    <col min="9" max="9" width="18.1796875" style="441" bestFit="1" customWidth="1"/>
    <col min="10" max="10" width="15" style="441" customWidth="1"/>
    <col min="11" max="11" width="12" style="441" bestFit="1" customWidth="1"/>
    <col min="12" max="16384" width="11.453125" style="441"/>
  </cols>
  <sheetData>
    <row r="1" spans="1:8" ht="41.5" customHeight="1">
      <c r="A1" s="676" t="str">
        <f>+'PRES GENERAL MR'!A1</f>
        <v>IMPLEMENTACIÓN DE SOLUCIONES ENERGÉTICAS SOSTENIBLES CON FUENTES NO CONVENCIONALES, PARA LAS COMUNIDADES RURALES DEL MUNICIPIO DE PLATO, DEPARTAMENTO MAGDALENA.</v>
      </c>
      <c r="B1" s="676"/>
      <c r="C1" s="676"/>
      <c r="D1" s="676"/>
      <c r="E1" s="676"/>
      <c r="F1" s="676"/>
      <c r="G1" s="676"/>
      <c r="H1" s="676"/>
    </row>
    <row r="3" spans="1:8">
      <c r="A3" s="677" t="s">
        <v>707</v>
      </c>
      <c r="B3" s="677"/>
      <c r="C3" s="677"/>
      <c r="D3" s="677"/>
      <c r="E3" s="677"/>
      <c r="F3" s="677"/>
      <c r="G3" s="677"/>
      <c r="H3" s="677"/>
    </row>
    <row r="4" spans="1:8">
      <c r="A4" s="443" t="s">
        <v>708</v>
      </c>
      <c r="B4" s="443" t="s">
        <v>709</v>
      </c>
      <c r="C4" s="443" t="s">
        <v>710</v>
      </c>
      <c r="D4" s="443" t="s">
        <v>284</v>
      </c>
      <c r="E4" s="443" t="s">
        <v>711</v>
      </c>
      <c r="F4" s="443" t="s">
        <v>712</v>
      </c>
      <c r="G4" s="443" t="s">
        <v>713</v>
      </c>
      <c r="H4" s="444" t="s">
        <v>714</v>
      </c>
    </row>
    <row r="5" spans="1:8">
      <c r="A5" s="445">
        <v>1</v>
      </c>
      <c r="B5" s="445" t="s">
        <v>715</v>
      </c>
      <c r="C5" s="446" t="s">
        <v>716</v>
      </c>
      <c r="D5" s="445" t="s">
        <v>92</v>
      </c>
      <c r="E5" s="445">
        <v>28.9</v>
      </c>
      <c r="F5" s="447"/>
      <c r="G5" s="448"/>
      <c r="H5" s="166"/>
    </row>
    <row r="6" spans="1:8">
      <c r="A6" s="445">
        <v>2</v>
      </c>
      <c r="B6" s="445" t="s">
        <v>717</v>
      </c>
      <c r="C6" s="445" t="s">
        <v>718</v>
      </c>
      <c r="D6" s="449" t="s">
        <v>536</v>
      </c>
      <c r="E6" s="445">
        <v>5.8200000000000002E-2</v>
      </c>
      <c r="F6" s="447"/>
      <c r="G6" s="448"/>
      <c r="H6" s="166"/>
    </row>
    <row r="7" spans="1:8">
      <c r="A7" s="445">
        <v>3</v>
      </c>
      <c r="B7" s="445" t="s">
        <v>717</v>
      </c>
      <c r="C7" s="445" t="s">
        <v>719</v>
      </c>
      <c r="D7" s="449" t="s">
        <v>92</v>
      </c>
      <c r="E7" s="445">
        <v>0.1</v>
      </c>
      <c r="F7" s="447"/>
      <c r="G7" s="448"/>
      <c r="H7" s="166"/>
    </row>
    <row r="8" spans="1:8" ht="13.15" customHeight="1">
      <c r="A8" s="445">
        <v>4</v>
      </c>
      <c r="B8" s="445" t="s">
        <v>717</v>
      </c>
      <c r="C8" s="445" t="s">
        <v>720</v>
      </c>
      <c r="D8" s="449" t="s">
        <v>536</v>
      </c>
      <c r="E8" s="445">
        <v>0.18</v>
      </c>
      <c r="F8" s="447"/>
      <c r="G8" s="448"/>
      <c r="H8" s="166"/>
    </row>
    <row r="9" spans="1:8" ht="13.15" customHeight="1">
      <c r="A9" s="445">
        <v>5</v>
      </c>
      <c r="B9" s="445" t="s">
        <v>721</v>
      </c>
      <c r="C9" s="445" t="s">
        <v>722</v>
      </c>
      <c r="D9" s="449" t="s">
        <v>536</v>
      </c>
      <c r="E9" s="445">
        <v>0.55000000000000004</v>
      </c>
      <c r="F9" s="447"/>
      <c r="G9" s="448"/>
      <c r="H9" s="166"/>
    </row>
    <row r="10" spans="1:8">
      <c r="A10" s="445">
        <v>6</v>
      </c>
      <c r="B10" s="445" t="s">
        <v>721</v>
      </c>
      <c r="C10" s="445" t="s">
        <v>723</v>
      </c>
      <c r="D10" s="449" t="s">
        <v>92</v>
      </c>
      <c r="E10" s="445">
        <v>0.14000000000000001</v>
      </c>
      <c r="F10" s="447"/>
      <c r="G10" s="448"/>
      <c r="H10" s="166"/>
    </row>
    <row r="11" spans="1:8">
      <c r="A11" s="445">
        <v>7</v>
      </c>
      <c r="B11" s="445" t="s">
        <v>721</v>
      </c>
      <c r="C11" s="445" t="s">
        <v>724</v>
      </c>
      <c r="D11" s="449" t="s">
        <v>92</v>
      </c>
      <c r="E11" s="445">
        <v>0.1</v>
      </c>
      <c r="F11" s="447"/>
      <c r="G11" s="448"/>
      <c r="H11" s="166"/>
    </row>
    <row r="12" spans="1:8" ht="28">
      <c r="A12" s="445">
        <v>8</v>
      </c>
      <c r="B12" s="445" t="s">
        <v>725</v>
      </c>
      <c r="C12" s="446" t="s">
        <v>726</v>
      </c>
      <c r="D12" s="445" t="s">
        <v>92</v>
      </c>
      <c r="E12" s="445">
        <v>13</v>
      </c>
      <c r="F12" s="447"/>
      <c r="G12" s="448"/>
      <c r="H12" s="166"/>
    </row>
    <row r="13" spans="1:8">
      <c r="A13" s="445">
        <v>9</v>
      </c>
      <c r="B13" s="445" t="s">
        <v>727</v>
      </c>
      <c r="C13" s="445" t="s">
        <v>728</v>
      </c>
      <c r="D13" s="449" t="s">
        <v>92</v>
      </c>
      <c r="E13" s="445">
        <v>1.2</v>
      </c>
      <c r="F13" s="447"/>
      <c r="G13" s="448"/>
      <c r="H13" s="166"/>
    </row>
    <row r="14" spans="1:8">
      <c r="A14" s="445">
        <v>10</v>
      </c>
      <c r="B14" s="445" t="s">
        <v>729</v>
      </c>
      <c r="C14" s="445" t="s">
        <v>730</v>
      </c>
      <c r="D14" s="449" t="s">
        <v>536</v>
      </c>
      <c r="E14" s="445">
        <v>0.3</v>
      </c>
      <c r="F14" s="447"/>
      <c r="G14" s="448"/>
      <c r="H14" s="166"/>
    </row>
    <row r="15" spans="1:8">
      <c r="A15" s="445">
        <v>11</v>
      </c>
      <c r="B15" s="445" t="s">
        <v>731</v>
      </c>
      <c r="C15" s="445" t="s">
        <v>732</v>
      </c>
      <c r="D15" s="449" t="s">
        <v>92</v>
      </c>
      <c r="E15" s="445">
        <v>0.24</v>
      </c>
      <c r="F15" s="447"/>
      <c r="G15" s="448"/>
      <c r="H15" s="166"/>
    </row>
    <row r="16" spans="1:8">
      <c r="A16" s="445">
        <v>12</v>
      </c>
      <c r="B16" s="445" t="s">
        <v>731</v>
      </c>
      <c r="C16" s="445" t="s">
        <v>733</v>
      </c>
      <c r="D16" s="449" t="s">
        <v>92</v>
      </c>
      <c r="E16" s="445">
        <v>0.5</v>
      </c>
      <c r="F16" s="447"/>
      <c r="G16" s="448"/>
      <c r="H16" s="166"/>
    </row>
    <row r="17" spans="1:8">
      <c r="A17" s="445">
        <v>13</v>
      </c>
      <c r="B17" s="445" t="s">
        <v>734</v>
      </c>
      <c r="C17" s="445" t="s">
        <v>735</v>
      </c>
      <c r="D17" s="449" t="s">
        <v>92</v>
      </c>
      <c r="E17" s="445">
        <v>0.24</v>
      </c>
      <c r="F17" s="447"/>
      <c r="G17" s="448"/>
      <c r="H17" s="166"/>
    </row>
    <row r="18" spans="1:8">
      <c r="A18" s="445">
        <v>14</v>
      </c>
      <c r="B18" s="445" t="s">
        <v>717</v>
      </c>
      <c r="C18" s="445" t="s">
        <v>736</v>
      </c>
      <c r="D18" s="449" t="s">
        <v>536</v>
      </c>
      <c r="E18" s="445">
        <v>0.7</v>
      </c>
      <c r="F18" s="447"/>
      <c r="G18" s="448"/>
      <c r="H18" s="166"/>
    </row>
    <row r="19" spans="1:8" ht="42">
      <c r="A19" s="445">
        <v>15</v>
      </c>
      <c r="B19" s="445" t="s">
        <v>715</v>
      </c>
      <c r="C19" s="450" t="s">
        <v>737</v>
      </c>
      <c r="D19" s="445" t="s">
        <v>92</v>
      </c>
      <c r="E19" s="445">
        <v>13.7</v>
      </c>
      <c r="F19" s="447"/>
      <c r="G19" s="448"/>
      <c r="H19" s="166"/>
    </row>
    <row r="20" spans="1:8">
      <c r="A20" s="445">
        <v>16</v>
      </c>
      <c r="B20" s="445" t="s">
        <v>717</v>
      </c>
      <c r="C20" s="445" t="s">
        <v>738</v>
      </c>
      <c r="D20" s="449" t="s">
        <v>536</v>
      </c>
      <c r="E20" s="445">
        <v>9.6000000000000002E-2</v>
      </c>
      <c r="F20" s="447"/>
      <c r="G20" s="448"/>
      <c r="H20" s="166"/>
    </row>
    <row r="21" spans="1:8">
      <c r="A21" s="445">
        <v>17</v>
      </c>
      <c r="B21" s="445" t="s">
        <v>717</v>
      </c>
      <c r="C21" s="445" t="s">
        <v>739</v>
      </c>
      <c r="D21" s="449" t="s">
        <v>536</v>
      </c>
      <c r="E21" s="445">
        <v>0.56000000000000005</v>
      </c>
      <c r="F21" s="447"/>
      <c r="G21" s="448"/>
      <c r="H21" s="166"/>
    </row>
    <row r="22" spans="1:8" ht="33" customHeight="1">
      <c r="A22" s="445">
        <v>18</v>
      </c>
      <c r="B22" s="445" t="s">
        <v>725</v>
      </c>
      <c r="C22" s="446" t="s">
        <v>740</v>
      </c>
      <c r="D22" s="445" t="s">
        <v>92</v>
      </c>
      <c r="E22" s="445">
        <v>20</v>
      </c>
      <c r="F22" s="447"/>
      <c r="G22" s="448"/>
      <c r="H22" s="166"/>
    </row>
    <row r="23" spans="1:8" ht="31" customHeight="1">
      <c r="A23" s="445">
        <v>19</v>
      </c>
      <c r="B23" s="445" t="s">
        <v>727</v>
      </c>
      <c r="C23" s="445" t="s">
        <v>741</v>
      </c>
      <c r="D23" s="449" t="s">
        <v>92</v>
      </c>
      <c r="E23" s="445">
        <v>3.5</v>
      </c>
      <c r="F23" s="447"/>
      <c r="G23" s="448"/>
      <c r="H23" s="166"/>
    </row>
    <row r="24" spans="1:8">
      <c r="A24" s="445">
        <v>20</v>
      </c>
      <c r="B24" s="445" t="s">
        <v>731</v>
      </c>
      <c r="C24" s="445" t="s">
        <v>742</v>
      </c>
      <c r="D24" s="445" t="s">
        <v>92</v>
      </c>
      <c r="E24" s="445">
        <v>0.4</v>
      </c>
      <c r="F24" s="447"/>
      <c r="G24" s="448"/>
      <c r="H24" s="166"/>
    </row>
    <row r="25" spans="1:8">
      <c r="A25" s="445">
        <v>21</v>
      </c>
      <c r="B25" s="445" t="s">
        <v>717</v>
      </c>
      <c r="C25" s="445" t="s">
        <v>743</v>
      </c>
      <c r="D25" s="449" t="s">
        <v>536</v>
      </c>
      <c r="E25" s="445">
        <v>0.86</v>
      </c>
      <c r="F25" s="447"/>
      <c r="G25" s="448"/>
      <c r="H25" s="166"/>
    </row>
    <row r="26" spans="1:8">
      <c r="A26" s="445">
        <v>22</v>
      </c>
      <c r="B26" s="445" t="s">
        <v>731</v>
      </c>
      <c r="C26" s="445" t="s">
        <v>744</v>
      </c>
      <c r="D26" s="445" t="s">
        <v>92</v>
      </c>
      <c r="E26" s="445">
        <v>0.4</v>
      </c>
      <c r="F26" s="447"/>
      <c r="G26" s="448"/>
      <c r="H26" s="166"/>
    </row>
    <row r="27" spans="1:8">
      <c r="A27" s="445">
        <v>23</v>
      </c>
      <c r="B27" s="445" t="s">
        <v>731</v>
      </c>
      <c r="C27" s="445" t="s">
        <v>745</v>
      </c>
      <c r="D27" s="445" t="s">
        <v>92</v>
      </c>
      <c r="E27" s="445">
        <v>0.5</v>
      </c>
      <c r="F27" s="447"/>
      <c r="G27" s="448"/>
      <c r="H27" s="166"/>
    </row>
    <row r="28" spans="1:8">
      <c r="A28" s="445">
        <v>24</v>
      </c>
      <c r="B28" s="445" t="s">
        <v>717</v>
      </c>
      <c r="C28" s="445" t="s">
        <v>746</v>
      </c>
      <c r="D28" s="445" t="s">
        <v>92</v>
      </c>
      <c r="E28" s="445">
        <v>8.0000000000000002E-3</v>
      </c>
      <c r="F28" s="447"/>
      <c r="G28" s="448"/>
      <c r="H28" s="166"/>
    </row>
    <row r="29" spans="1:8">
      <c r="A29" s="445">
        <v>25</v>
      </c>
      <c r="B29" s="445" t="s">
        <v>717</v>
      </c>
      <c r="C29" s="445" t="s">
        <v>747</v>
      </c>
      <c r="D29" s="449" t="s">
        <v>92</v>
      </c>
      <c r="E29" s="445">
        <v>8.0000000000000002E-3</v>
      </c>
      <c r="F29" s="447"/>
      <c r="G29" s="448"/>
      <c r="H29" s="166"/>
    </row>
    <row r="30" spans="1:8">
      <c r="A30" s="445">
        <v>26</v>
      </c>
      <c r="B30" s="445" t="s">
        <v>715</v>
      </c>
      <c r="C30" s="449" t="s">
        <v>748</v>
      </c>
      <c r="D30" s="449" t="s">
        <v>92</v>
      </c>
      <c r="E30" s="445">
        <v>45</v>
      </c>
      <c r="F30" s="447"/>
      <c r="G30" s="448"/>
      <c r="H30" s="166"/>
    </row>
    <row r="31" spans="1:8">
      <c r="A31" s="445">
        <v>27</v>
      </c>
      <c r="B31" s="445" t="s">
        <v>729</v>
      </c>
      <c r="C31" s="445" t="s">
        <v>749</v>
      </c>
      <c r="D31" s="449" t="s">
        <v>92</v>
      </c>
      <c r="E31" s="445">
        <v>25</v>
      </c>
      <c r="F31" s="447"/>
      <c r="G31" s="448"/>
      <c r="H31" s="166"/>
    </row>
    <row r="32" spans="1:8">
      <c r="A32" s="445">
        <v>28</v>
      </c>
      <c r="B32" s="445" t="s">
        <v>717</v>
      </c>
      <c r="C32" s="445" t="s">
        <v>750</v>
      </c>
      <c r="D32" s="449" t="s">
        <v>536</v>
      </c>
      <c r="E32" s="445">
        <v>0.06</v>
      </c>
      <c r="F32" s="447"/>
      <c r="G32" s="448"/>
      <c r="H32" s="166"/>
    </row>
    <row r="33" spans="1:8">
      <c r="A33" s="445">
        <v>29</v>
      </c>
      <c r="B33" s="445" t="s">
        <v>717</v>
      </c>
      <c r="C33" s="445" t="s">
        <v>751</v>
      </c>
      <c r="D33" s="449" t="s">
        <v>752</v>
      </c>
      <c r="E33" s="445">
        <v>0.02</v>
      </c>
      <c r="F33" s="447"/>
      <c r="G33" s="448"/>
      <c r="H33" s="166"/>
    </row>
    <row r="34" spans="1:8" ht="28">
      <c r="A34" s="445">
        <v>30</v>
      </c>
      <c r="B34" s="445" t="s">
        <v>715</v>
      </c>
      <c r="C34" s="450" t="s">
        <v>753</v>
      </c>
      <c r="D34" s="449" t="s">
        <v>92</v>
      </c>
      <c r="E34" s="445">
        <v>30</v>
      </c>
      <c r="F34" s="447"/>
      <c r="G34" s="448"/>
      <c r="H34" s="166"/>
    </row>
    <row r="35" spans="1:8" ht="28">
      <c r="A35" s="445">
        <v>31</v>
      </c>
      <c r="B35" s="445" t="s">
        <v>725</v>
      </c>
      <c r="C35" s="446" t="s">
        <v>754</v>
      </c>
      <c r="D35" s="449" t="s">
        <v>92</v>
      </c>
      <c r="E35" s="445">
        <v>10</v>
      </c>
      <c r="F35" s="447"/>
      <c r="G35" s="448"/>
      <c r="H35" s="166"/>
    </row>
    <row r="36" spans="1:8">
      <c r="A36" s="445">
        <v>32</v>
      </c>
      <c r="B36" s="445" t="s">
        <v>727</v>
      </c>
      <c r="C36" s="445" t="s">
        <v>755</v>
      </c>
      <c r="D36" s="449" t="s">
        <v>92</v>
      </c>
      <c r="E36" s="445">
        <v>1</v>
      </c>
      <c r="F36" s="447"/>
      <c r="G36" s="448"/>
      <c r="H36" s="166"/>
    </row>
    <row r="37" spans="1:8">
      <c r="A37" s="445">
        <v>33</v>
      </c>
      <c r="B37" s="445" t="s">
        <v>731</v>
      </c>
      <c r="C37" s="445" t="s">
        <v>756</v>
      </c>
      <c r="D37" s="449" t="s">
        <v>92</v>
      </c>
      <c r="E37" s="445">
        <v>0.24</v>
      </c>
      <c r="F37" s="447"/>
      <c r="G37" s="448"/>
      <c r="H37" s="166"/>
    </row>
    <row r="38" spans="1:8">
      <c r="A38" s="445">
        <v>34</v>
      </c>
      <c r="B38" s="445" t="s">
        <v>731</v>
      </c>
      <c r="C38" s="445" t="s">
        <v>757</v>
      </c>
      <c r="D38" s="449" t="s">
        <v>92</v>
      </c>
      <c r="E38" s="445">
        <v>0.35</v>
      </c>
      <c r="F38" s="447"/>
      <c r="G38" s="448"/>
      <c r="H38" s="166"/>
    </row>
    <row r="39" spans="1:8">
      <c r="A39" s="445">
        <v>35</v>
      </c>
      <c r="B39" s="445" t="s">
        <v>715</v>
      </c>
      <c r="C39" s="449" t="s">
        <v>758</v>
      </c>
      <c r="D39" s="449" t="s">
        <v>92</v>
      </c>
      <c r="E39" s="445">
        <v>13.5</v>
      </c>
      <c r="F39" s="447"/>
      <c r="G39" s="448"/>
      <c r="H39" s="166"/>
    </row>
    <row r="40" spans="1:8" ht="28">
      <c r="A40" s="445">
        <v>36</v>
      </c>
      <c r="B40" s="445" t="s">
        <v>725</v>
      </c>
      <c r="C40" s="446" t="s">
        <v>759</v>
      </c>
      <c r="D40" s="445" t="s">
        <v>92</v>
      </c>
      <c r="E40" s="445">
        <v>15</v>
      </c>
      <c r="F40" s="447"/>
      <c r="G40" s="448"/>
      <c r="H40" s="166"/>
    </row>
    <row r="41" spans="1:8">
      <c r="A41" s="445">
        <v>37</v>
      </c>
      <c r="B41" s="445" t="s">
        <v>727</v>
      </c>
      <c r="C41" s="445" t="s">
        <v>760</v>
      </c>
      <c r="D41" s="449" t="s">
        <v>92</v>
      </c>
      <c r="E41" s="445">
        <v>1.5</v>
      </c>
      <c r="F41" s="447"/>
      <c r="G41" s="448"/>
      <c r="H41" s="166"/>
    </row>
    <row r="42" spans="1:8" ht="28">
      <c r="A42" s="445">
        <v>38</v>
      </c>
      <c r="B42" s="445" t="s">
        <v>761</v>
      </c>
      <c r="C42" s="446" t="s">
        <v>762</v>
      </c>
      <c r="D42" s="449" t="s">
        <v>92</v>
      </c>
      <c r="E42" s="445">
        <v>1</v>
      </c>
      <c r="F42" s="447"/>
      <c r="G42" s="448"/>
      <c r="H42" s="166"/>
    </row>
    <row r="43" spans="1:8">
      <c r="A43" s="445">
        <v>39</v>
      </c>
      <c r="B43" s="445" t="s">
        <v>717</v>
      </c>
      <c r="C43" s="445" t="s">
        <v>763</v>
      </c>
      <c r="D43" s="449" t="s">
        <v>536</v>
      </c>
      <c r="E43" s="445">
        <f>0.068/2</f>
        <v>3.4000000000000002E-2</v>
      </c>
      <c r="F43" s="447"/>
      <c r="G43" s="448"/>
      <c r="H43" s="166"/>
    </row>
    <row r="44" spans="1:8">
      <c r="A44" s="445">
        <v>40</v>
      </c>
      <c r="B44" s="445" t="s">
        <v>731</v>
      </c>
      <c r="C44" s="445" t="s">
        <v>764</v>
      </c>
      <c r="D44" s="449" t="s">
        <v>92</v>
      </c>
      <c r="E44" s="445">
        <v>0.4</v>
      </c>
      <c r="F44" s="447"/>
      <c r="G44" s="448"/>
      <c r="H44" s="166"/>
    </row>
    <row r="45" spans="1:8">
      <c r="A45" s="445">
        <v>41</v>
      </c>
      <c r="B45" s="445" t="s">
        <v>731</v>
      </c>
      <c r="C45" s="445" t="s">
        <v>765</v>
      </c>
      <c r="D45" s="449" t="s">
        <v>92</v>
      </c>
      <c r="E45" s="445">
        <v>0.3</v>
      </c>
      <c r="F45" s="447"/>
      <c r="G45" s="448"/>
      <c r="H45" s="166"/>
    </row>
    <row r="46" spans="1:8">
      <c r="A46" s="445">
        <v>42</v>
      </c>
      <c r="B46" s="445" t="s">
        <v>731</v>
      </c>
      <c r="C46" s="445" t="s">
        <v>766</v>
      </c>
      <c r="D46" s="449" t="s">
        <v>92</v>
      </c>
      <c r="E46" s="445">
        <v>0.24</v>
      </c>
      <c r="F46" s="447"/>
      <c r="G46" s="448"/>
      <c r="H46" s="166"/>
    </row>
    <row r="47" spans="1:8">
      <c r="A47" s="445">
        <v>43</v>
      </c>
      <c r="B47" s="445" t="s">
        <v>721</v>
      </c>
      <c r="C47" s="445" t="s">
        <v>767</v>
      </c>
      <c r="D47" s="449" t="s">
        <v>536</v>
      </c>
      <c r="E47" s="445">
        <v>0.5</v>
      </c>
      <c r="F47" s="447"/>
      <c r="G47" s="448"/>
      <c r="H47" s="166"/>
    </row>
    <row r="48" spans="1:8">
      <c r="A48" s="445">
        <v>44</v>
      </c>
      <c r="B48" s="445" t="s">
        <v>721</v>
      </c>
      <c r="C48" s="445" t="s">
        <v>768</v>
      </c>
      <c r="D48" s="449" t="s">
        <v>536</v>
      </c>
      <c r="E48" s="451">
        <f>0.79/3</f>
        <v>0.26333333333333336</v>
      </c>
      <c r="F48" s="447"/>
      <c r="G48" s="448"/>
      <c r="H48" s="166"/>
    </row>
    <row r="49" spans="1:8">
      <c r="A49" s="445">
        <v>45</v>
      </c>
      <c r="B49" s="445" t="s">
        <v>721</v>
      </c>
      <c r="C49" s="445" t="s">
        <v>769</v>
      </c>
      <c r="D49" s="449" t="s">
        <v>536</v>
      </c>
      <c r="E49" s="451">
        <f>3.2/3</f>
        <v>1.0666666666666667</v>
      </c>
      <c r="F49" s="447"/>
      <c r="G49" s="448"/>
      <c r="H49" s="166"/>
    </row>
    <row r="50" spans="1:8">
      <c r="A50" s="445">
        <v>46</v>
      </c>
      <c r="B50" s="445" t="s">
        <v>721</v>
      </c>
      <c r="C50" s="445" t="s">
        <v>770</v>
      </c>
      <c r="D50" s="449" t="s">
        <v>92</v>
      </c>
      <c r="E50" s="445">
        <v>0.08</v>
      </c>
      <c r="F50" s="447"/>
      <c r="G50" s="448"/>
      <c r="H50" s="166"/>
    </row>
    <row r="51" spans="1:8">
      <c r="A51" s="445">
        <v>47</v>
      </c>
      <c r="B51" s="445" t="s">
        <v>721</v>
      </c>
      <c r="C51" s="445" t="s">
        <v>771</v>
      </c>
      <c r="D51" s="449" t="s">
        <v>752</v>
      </c>
      <c r="E51" s="445">
        <v>0.2</v>
      </c>
      <c r="F51" s="447"/>
      <c r="G51" s="448"/>
      <c r="H51" s="166"/>
    </row>
    <row r="52" spans="1:8">
      <c r="A52" s="445">
        <v>48</v>
      </c>
      <c r="B52" s="445" t="s">
        <v>721</v>
      </c>
      <c r="C52" s="445" t="s">
        <v>772</v>
      </c>
      <c r="D52" s="449" t="s">
        <v>92</v>
      </c>
      <c r="E52" s="445">
        <v>0.19</v>
      </c>
      <c r="F52" s="447"/>
      <c r="G52" s="448"/>
      <c r="H52" s="166"/>
    </row>
    <row r="53" spans="1:8">
      <c r="A53" s="445">
        <v>49</v>
      </c>
      <c r="B53" s="445" t="s">
        <v>721</v>
      </c>
      <c r="C53" s="445" t="s">
        <v>773</v>
      </c>
      <c r="D53" s="449" t="s">
        <v>92</v>
      </c>
      <c r="E53" s="445">
        <v>0.1</v>
      </c>
      <c r="F53" s="447"/>
      <c r="G53" s="448"/>
      <c r="H53" s="166"/>
    </row>
    <row r="54" spans="1:8">
      <c r="A54" s="445">
        <v>50</v>
      </c>
      <c r="B54" s="445" t="s">
        <v>721</v>
      </c>
      <c r="C54" s="445" t="s">
        <v>774</v>
      </c>
      <c r="D54" s="449" t="s">
        <v>92</v>
      </c>
      <c r="E54" s="445">
        <v>0.05</v>
      </c>
      <c r="F54" s="447"/>
      <c r="G54" s="448"/>
      <c r="H54" s="166"/>
    </row>
    <row r="55" spans="1:8">
      <c r="A55" s="445">
        <v>51</v>
      </c>
      <c r="B55" s="445" t="s">
        <v>721</v>
      </c>
      <c r="C55" s="445" t="s">
        <v>775</v>
      </c>
      <c r="D55" s="449" t="s">
        <v>92</v>
      </c>
      <c r="E55" s="445">
        <v>0.05</v>
      </c>
      <c r="F55" s="447"/>
      <c r="G55" s="448"/>
      <c r="H55" s="166"/>
    </row>
    <row r="56" spans="1:8">
      <c r="A56" s="445">
        <v>52</v>
      </c>
      <c r="B56" s="445" t="s">
        <v>729</v>
      </c>
      <c r="C56" s="445" t="s">
        <v>776</v>
      </c>
      <c r="D56" s="449" t="s">
        <v>92</v>
      </c>
      <c r="E56" s="445">
        <v>0.35</v>
      </c>
      <c r="F56" s="447"/>
      <c r="G56" s="448"/>
      <c r="H56" s="166"/>
    </row>
    <row r="57" spans="1:8" ht="28">
      <c r="A57" s="445">
        <v>53</v>
      </c>
      <c r="B57" s="445" t="s">
        <v>777</v>
      </c>
      <c r="C57" s="446" t="s">
        <v>778</v>
      </c>
      <c r="D57" s="445" t="s">
        <v>92</v>
      </c>
      <c r="E57" s="445">
        <v>2</v>
      </c>
      <c r="F57" s="447"/>
      <c r="G57" s="448"/>
      <c r="H57" s="166"/>
    </row>
    <row r="58" spans="1:8">
      <c r="A58" s="445">
        <v>54</v>
      </c>
      <c r="B58" s="445" t="s">
        <v>777</v>
      </c>
      <c r="C58" s="445" t="s">
        <v>779</v>
      </c>
      <c r="D58" s="445" t="s">
        <v>92</v>
      </c>
      <c r="E58" s="445">
        <v>1</v>
      </c>
      <c r="F58" s="447"/>
      <c r="G58" s="448"/>
      <c r="H58" s="166"/>
    </row>
    <row r="59" spans="1:8">
      <c r="A59" s="445">
        <v>55</v>
      </c>
      <c r="B59" s="445" t="s">
        <v>777</v>
      </c>
      <c r="C59" s="445" t="s">
        <v>780</v>
      </c>
      <c r="D59" s="449" t="s">
        <v>536</v>
      </c>
      <c r="E59" s="445">
        <v>3.2000000000000001E-2</v>
      </c>
      <c r="F59" s="447"/>
      <c r="G59" s="448"/>
      <c r="H59" s="166"/>
    </row>
    <row r="60" spans="1:8">
      <c r="A60" s="445">
        <v>56</v>
      </c>
      <c r="B60" s="445" t="s">
        <v>777</v>
      </c>
      <c r="C60" s="445" t="s">
        <v>781</v>
      </c>
      <c r="D60" s="449" t="s">
        <v>536</v>
      </c>
      <c r="E60" s="445">
        <v>3.2000000000000001E-2</v>
      </c>
      <c r="F60" s="447"/>
      <c r="G60" s="448"/>
      <c r="H60" s="166"/>
    </row>
    <row r="61" spans="1:8">
      <c r="A61" s="445">
        <v>57</v>
      </c>
      <c r="B61" s="445" t="s">
        <v>777</v>
      </c>
      <c r="C61" s="445" t="s">
        <v>782</v>
      </c>
      <c r="D61" s="449" t="s">
        <v>92</v>
      </c>
      <c r="E61" s="445">
        <v>0.01</v>
      </c>
      <c r="F61" s="447"/>
      <c r="G61" s="448"/>
      <c r="H61" s="166"/>
    </row>
    <row r="62" spans="1:8">
      <c r="A62" s="445">
        <v>58</v>
      </c>
      <c r="B62" s="445" t="s">
        <v>777</v>
      </c>
      <c r="C62" s="445" t="s">
        <v>783</v>
      </c>
      <c r="D62" s="449" t="s">
        <v>92</v>
      </c>
      <c r="E62" s="445">
        <v>0.01</v>
      </c>
      <c r="F62" s="447"/>
      <c r="G62" s="448"/>
      <c r="H62" s="166"/>
    </row>
    <row r="63" spans="1:8">
      <c r="A63" s="445">
        <v>59</v>
      </c>
      <c r="B63" s="445" t="s">
        <v>721</v>
      </c>
      <c r="C63" s="445" t="s">
        <v>784</v>
      </c>
      <c r="D63" s="449" t="s">
        <v>536</v>
      </c>
      <c r="E63" s="445">
        <v>0.4</v>
      </c>
      <c r="F63" s="447"/>
      <c r="G63" s="448"/>
      <c r="H63" s="166"/>
    </row>
    <row r="64" spans="1:8">
      <c r="A64" s="445">
        <v>60</v>
      </c>
      <c r="B64" s="445" t="s">
        <v>721</v>
      </c>
      <c r="C64" s="445" t="s">
        <v>785</v>
      </c>
      <c r="D64" s="449" t="s">
        <v>92</v>
      </c>
      <c r="E64" s="445">
        <v>0.19</v>
      </c>
      <c r="F64" s="447"/>
      <c r="G64" s="448"/>
      <c r="H64" s="166"/>
    </row>
    <row r="65" spans="1:8" ht="28">
      <c r="A65" s="445">
        <v>61</v>
      </c>
      <c r="B65" s="445" t="s">
        <v>725</v>
      </c>
      <c r="C65" s="446" t="s">
        <v>786</v>
      </c>
      <c r="D65" s="449" t="s">
        <v>92</v>
      </c>
      <c r="E65" s="445">
        <v>2</v>
      </c>
      <c r="F65" s="447"/>
      <c r="G65" s="448"/>
      <c r="H65" s="166"/>
    </row>
    <row r="66" spans="1:8">
      <c r="A66" s="445">
        <v>62</v>
      </c>
      <c r="B66" s="445" t="s">
        <v>777</v>
      </c>
      <c r="C66" s="445" t="s">
        <v>787</v>
      </c>
      <c r="D66" s="449" t="s">
        <v>92</v>
      </c>
      <c r="E66" s="445">
        <v>3.5000000000000003E-2</v>
      </c>
      <c r="F66" s="447"/>
      <c r="G66" s="448"/>
      <c r="H66" s="166"/>
    </row>
    <row r="67" spans="1:8">
      <c r="A67" s="445">
        <v>63</v>
      </c>
      <c r="B67" s="445" t="s">
        <v>777</v>
      </c>
      <c r="C67" s="445" t="s">
        <v>788</v>
      </c>
      <c r="D67" s="449" t="s">
        <v>92</v>
      </c>
      <c r="E67" s="445">
        <v>0.1</v>
      </c>
      <c r="F67" s="447"/>
      <c r="G67" s="448"/>
      <c r="H67" s="166"/>
    </row>
    <row r="68" spans="1:8">
      <c r="A68" s="445">
        <v>64</v>
      </c>
      <c r="B68" s="445" t="s">
        <v>789</v>
      </c>
      <c r="C68" s="445" t="s">
        <v>790</v>
      </c>
      <c r="D68" s="449" t="s">
        <v>92</v>
      </c>
      <c r="E68" s="445">
        <v>5</v>
      </c>
      <c r="F68" s="447"/>
      <c r="G68" s="448"/>
      <c r="H68" s="166"/>
    </row>
    <row r="69" spans="1:8">
      <c r="A69" s="445">
        <v>65</v>
      </c>
      <c r="B69" s="445" t="s">
        <v>791</v>
      </c>
      <c r="C69" s="445" t="s">
        <v>792</v>
      </c>
      <c r="D69" s="449" t="s">
        <v>92</v>
      </c>
      <c r="E69" s="445">
        <v>0.01</v>
      </c>
      <c r="F69" s="447"/>
      <c r="G69" s="448"/>
      <c r="H69" s="166"/>
    </row>
    <row r="70" spans="1:8">
      <c r="A70" s="445">
        <v>66</v>
      </c>
      <c r="B70" s="445" t="s">
        <v>791</v>
      </c>
      <c r="C70" s="445" t="s">
        <v>793</v>
      </c>
      <c r="D70" s="449" t="s">
        <v>92</v>
      </c>
      <c r="E70" s="445">
        <v>0.01</v>
      </c>
      <c r="F70" s="447"/>
      <c r="G70" s="448"/>
      <c r="H70" s="166"/>
    </row>
    <row r="71" spans="1:8">
      <c r="A71" s="445">
        <v>67</v>
      </c>
      <c r="B71" s="445" t="s">
        <v>717</v>
      </c>
      <c r="C71" s="445" t="s">
        <v>794</v>
      </c>
      <c r="D71" s="445" t="s">
        <v>536</v>
      </c>
      <c r="E71" s="445">
        <v>0.86</v>
      </c>
      <c r="F71" s="447"/>
      <c r="G71" s="448"/>
      <c r="H71" s="166"/>
    </row>
    <row r="72" spans="1:8">
      <c r="A72" s="445">
        <v>68</v>
      </c>
      <c r="B72" s="445" t="s">
        <v>761</v>
      </c>
      <c r="C72" s="445" t="s">
        <v>795</v>
      </c>
      <c r="D72" s="449" t="s">
        <v>92</v>
      </c>
      <c r="E72" s="445">
        <v>3.07</v>
      </c>
      <c r="F72" s="447"/>
      <c r="G72" s="448"/>
      <c r="H72" s="166"/>
    </row>
    <row r="73" spans="1:8">
      <c r="A73" s="445">
        <v>69</v>
      </c>
      <c r="B73" s="445" t="s">
        <v>789</v>
      </c>
      <c r="C73" s="445" t="s">
        <v>796</v>
      </c>
      <c r="D73" s="449" t="s">
        <v>92</v>
      </c>
      <c r="E73" s="445">
        <v>0.09</v>
      </c>
      <c r="F73" s="447"/>
      <c r="G73" s="448"/>
      <c r="H73" s="166"/>
    </row>
    <row r="74" spans="1:8">
      <c r="A74" s="445">
        <v>70</v>
      </c>
      <c r="B74" s="445" t="s">
        <v>729</v>
      </c>
      <c r="C74" s="445" t="s">
        <v>797</v>
      </c>
      <c r="D74" s="449" t="s">
        <v>92</v>
      </c>
      <c r="E74" s="445">
        <v>0.02</v>
      </c>
      <c r="F74" s="447"/>
      <c r="G74" s="448"/>
      <c r="H74" s="166"/>
    </row>
    <row r="75" spans="1:8">
      <c r="A75" s="445">
        <v>71</v>
      </c>
      <c r="B75" s="445" t="s">
        <v>717</v>
      </c>
      <c r="C75" s="445" t="s">
        <v>798</v>
      </c>
      <c r="D75" s="449" t="s">
        <v>92</v>
      </c>
      <c r="E75" s="445">
        <v>0.01</v>
      </c>
      <c r="F75" s="447"/>
      <c r="G75" s="448"/>
      <c r="H75" s="166"/>
    </row>
    <row r="76" spans="1:8">
      <c r="A76" s="445">
        <v>72</v>
      </c>
      <c r="B76" s="445" t="s">
        <v>761</v>
      </c>
      <c r="C76" s="445" t="s">
        <v>799</v>
      </c>
      <c r="D76" s="449" t="s">
        <v>92</v>
      </c>
      <c r="E76" s="445">
        <v>4</v>
      </c>
      <c r="F76" s="447"/>
      <c r="G76" s="448"/>
      <c r="H76" s="166"/>
    </row>
    <row r="77" spans="1:8" ht="28">
      <c r="A77" s="445">
        <v>73</v>
      </c>
      <c r="B77" s="445" t="s">
        <v>761</v>
      </c>
      <c r="C77" s="446" t="s">
        <v>800</v>
      </c>
      <c r="D77" s="445" t="s">
        <v>92</v>
      </c>
      <c r="E77" s="445">
        <v>0.5</v>
      </c>
      <c r="F77" s="447"/>
      <c r="G77" s="448"/>
      <c r="H77" s="166"/>
    </row>
    <row r="78" spans="1:8">
      <c r="A78" s="445">
        <v>74</v>
      </c>
      <c r="B78" s="445" t="s">
        <v>717</v>
      </c>
      <c r="C78" s="445" t="s">
        <v>801</v>
      </c>
      <c r="D78" s="449" t="s">
        <v>536</v>
      </c>
      <c r="E78" s="445">
        <v>0.35599999999999998</v>
      </c>
      <c r="F78" s="447"/>
      <c r="G78" s="448"/>
      <c r="H78" s="166"/>
    </row>
    <row r="79" spans="1:8">
      <c r="A79" s="445">
        <v>75</v>
      </c>
      <c r="B79" s="445" t="s">
        <v>717</v>
      </c>
      <c r="C79" s="445" t="s">
        <v>802</v>
      </c>
      <c r="D79" s="449" t="s">
        <v>536</v>
      </c>
      <c r="E79" s="445">
        <v>9.6000000000000002E-2</v>
      </c>
      <c r="F79" s="447"/>
      <c r="G79" s="448"/>
      <c r="H79" s="166"/>
    </row>
    <row r="80" spans="1:8">
      <c r="A80" s="445">
        <v>76</v>
      </c>
      <c r="B80" s="445" t="s">
        <v>729</v>
      </c>
      <c r="C80" s="445" t="s">
        <v>803</v>
      </c>
      <c r="D80" s="449" t="s">
        <v>92</v>
      </c>
      <c r="E80" s="445">
        <v>0.05</v>
      </c>
      <c r="F80" s="447"/>
      <c r="G80" s="448"/>
      <c r="H80" s="166"/>
    </row>
    <row r="81" spans="1:8">
      <c r="A81" s="445">
        <v>77</v>
      </c>
      <c r="B81" s="445" t="s">
        <v>729</v>
      </c>
      <c r="C81" s="445" t="s">
        <v>804</v>
      </c>
      <c r="D81" s="449" t="s">
        <v>92</v>
      </c>
      <c r="E81" s="445">
        <v>0.05</v>
      </c>
      <c r="F81" s="447"/>
      <c r="G81" s="448"/>
      <c r="H81" s="166"/>
    </row>
    <row r="82" spans="1:8">
      <c r="A82" s="445">
        <v>78</v>
      </c>
      <c r="B82" s="445" t="s">
        <v>729</v>
      </c>
      <c r="C82" s="445" t="s">
        <v>805</v>
      </c>
      <c r="D82" s="449" t="s">
        <v>92</v>
      </c>
      <c r="E82" s="445">
        <v>0.05</v>
      </c>
      <c r="F82" s="447"/>
      <c r="G82" s="448"/>
      <c r="H82" s="166"/>
    </row>
    <row r="83" spans="1:8">
      <c r="A83" s="445">
        <v>79</v>
      </c>
      <c r="B83" s="445" t="s">
        <v>729</v>
      </c>
      <c r="C83" s="445" t="s">
        <v>806</v>
      </c>
      <c r="D83" s="449" t="s">
        <v>92</v>
      </c>
      <c r="E83" s="445">
        <v>0.05</v>
      </c>
      <c r="F83" s="447"/>
      <c r="G83" s="448"/>
      <c r="H83" s="166"/>
    </row>
    <row r="84" spans="1:8">
      <c r="A84" s="445">
        <v>80</v>
      </c>
      <c r="B84" s="445" t="s">
        <v>729</v>
      </c>
      <c r="C84" s="445" t="s">
        <v>807</v>
      </c>
      <c r="D84" s="449" t="s">
        <v>92</v>
      </c>
      <c r="E84" s="445">
        <v>0.05</v>
      </c>
      <c r="F84" s="447"/>
      <c r="G84" s="448"/>
      <c r="H84" s="166"/>
    </row>
    <row r="85" spans="1:8">
      <c r="A85" s="445">
        <v>81</v>
      </c>
      <c r="B85" s="445" t="s">
        <v>729</v>
      </c>
      <c r="C85" s="445" t="s">
        <v>808</v>
      </c>
      <c r="D85" s="449" t="s">
        <v>92</v>
      </c>
      <c r="E85" s="445">
        <v>0.05</v>
      </c>
      <c r="F85" s="447"/>
      <c r="G85" s="448"/>
      <c r="H85" s="166"/>
    </row>
    <row r="86" spans="1:8">
      <c r="A86" s="445">
        <v>82</v>
      </c>
      <c r="B86" s="445" t="s">
        <v>717</v>
      </c>
      <c r="C86" s="445" t="s">
        <v>809</v>
      </c>
      <c r="D86" s="449" t="s">
        <v>92</v>
      </c>
      <c r="E86" s="445">
        <v>0.313</v>
      </c>
      <c r="F86" s="447"/>
      <c r="G86" s="448"/>
      <c r="H86" s="166"/>
    </row>
    <row r="87" spans="1:8">
      <c r="A87" s="445">
        <v>83</v>
      </c>
      <c r="B87" s="445" t="s">
        <v>721</v>
      </c>
      <c r="C87" s="445" t="s">
        <v>810</v>
      </c>
      <c r="D87" s="449" t="s">
        <v>536</v>
      </c>
      <c r="E87" s="451">
        <f>0.58/3</f>
        <v>0.19333333333333333</v>
      </c>
      <c r="F87" s="447"/>
      <c r="G87" s="448"/>
      <c r="H87" s="166"/>
    </row>
    <row r="88" spans="1:8">
      <c r="A88" s="445">
        <v>84</v>
      </c>
      <c r="B88" s="445" t="s">
        <v>721</v>
      </c>
      <c r="C88" s="445" t="s">
        <v>811</v>
      </c>
      <c r="D88" s="449" t="s">
        <v>536</v>
      </c>
      <c r="E88" s="451">
        <f>1.4/3</f>
        <v>0.46666666666666662</v>
      </c>
      <c r="F88" s="447"/>
      <c r="G88" s="448"/>
      <c r="H88" s="166"/>
    </row>
    <row r="89" spans="1:8">
      <c r="A89" s="445">
        <v>85</v>
      </c>
      <c r="B89" s="445" t="s">
        <v>717</v>
      </c>
      <c r="C89" s="445" t="s">
        <v>812</v>
      </c>
      <c r="D89" s="449" t="s">
        <v>536</v>
      </c>
      <c r="E89" s="445">
        <v>7.4999999999999997E-2</v>
      </c>
      <c r="F89" s="447"/>
      <c r="G89" s="448"/>
      <c r="H89" s="166"/>
    </row>
    <row r="90" spans="1:8">
      <c r="A90" s="445">
        <v>86</v>
      </c>
      <c r="B90" s="445" t="s">
        <v>777</v>
      </c>
      <c r="C90" s="446" t="s">
        <v>813</v>
      </c>
      <c r="D90" s="449" t="s">
        <v>92</v>
      </c>
      <c r="E90" s="445">
        <v>0.5</v>
      </c>
      <c r="F90" s="447"/>
      <c r="G90" s="448"/>
      <c r="H90" s="166"/>
    </row>
    <row r="91" spans="1:8">
      <c r="A91" s="445">
        <v>87</v>
      </c>
      <c r="B91" s="445" t="s">
        <v>725</v>
      </c>
      <c r="C91" s="446" t="s">
        <v>814</v>
      </c>
      <c r="D91" s="449" t="s">
        <v>92</v>
      </c>
      <c r="E91" s="445">
        <v>1</v>
      </c>
      <c r="F91" s="447"/>
      <c r="G91" s="448"/>
      <c r="H91" s="166"/>
    </row>
    <row r="92" spans="1:8">
      <c r="A92" s="445">
        <v>88</v>
      </c>
      <c r="B92" s="445" t="s">
        <v>815</v>
      </c>
      <c r="C92" s="446" t="s">
        <v>816</v>
      </c>
      <c r="D92" s="449" t="s">
        <v>536</v>
      </c>
      <c r="E92" s="445">
        <v>0.05</v>
      </c>
      <c r="F92" s="447"/>
      <c r="G92" s="448"/>
      <c r="H92" s="166"/>
    </row>
    <row r="93" spans="1:8">
      <c r="A93" s="445">
        <v>89</v>
      </c>
      <c r="B93" s="445" t="s">
        <v>815</v>
      </c>
      <c r="C93" s="446" t="s">
        <v>817</v>
      </c>
      <c r="D93" s="449" t="s">
        <v>818</v>
      </c>
      <c r="E93" s="445">
        <v>1</v>
      </c>
      <c r="F93" s="447"/>
      <c r="G93" s="448"/>
      <c r="H93" s="166"/>
    </row>
    <row r="94" spans="1:8">
      <c r="A94" s="445">
        <v>90</v>
      </c>
      <c r="B94" s="445" t="s">
        <v>815</v>
      </c>
      <c r="C94" s="446" t="s">
        <v>819</v>
      </c>
      <c r="D94" s="449" t="s">
        <v>621</v>
      </c>
      <c r="E94" s="445">
        <v>1600</v>
      </c>
      <c r="F94" s="447"/>
      <c r="G94" s="448"/>
      <c r="H94" s="166"/>
    </row>
    <row r="95" spans="1:8" ht="33.65" customHeight="1">
      <c r="A95" s="445">
        <v>91</v>
      </c>
      <c r="B95" s="445" t="s">
        <v>815</v>
      </c>
      <c r="C95" s="446" t="s">
        <v>820</v>
      </c>
      <c r="D95" s="449" t="s">
        <v>621</v>
      </c>
      <c r="E95" s="445">
        <v>1600</v>
      </c>
      <c r="F95" s="447"/>
      <c r="G95" s="448"/>
      <c r="H95" s="166"/>
    </row>
    <row r="96" spans="1:8">
      <c r="A96" s="445">
        <v>92</v>
      </c>
      <c r="B96" s="445" t="s">
        <v>815</v>
      </c>
      <c r="C96" s="446" t="s">
        <v>821</v>
      </c>
      <c r="D96" s="449" t="s">
        <v>630</v>
      </c>
      <c r="E96" s="445">
        <v>1</v>
      </c>
      <c r="F96" s="447"/>
      <c r="G96" s="448"/>
      <c r="H96" s="166"/>
    </row>
    <row r="97" spans="1:8">
      <c r="A97" s="445">
        <v>93</v>
      </c>
      <c r="B97" s="445" t="s">
        <v>815</v>
      </c>
      <c r="C97" s="446" t="s">
        <v>822</v>
      </c>
      <c r="D97" s="449" t="s">
        <v>630</v>
      </c>
      <c r="E97" s="445">
        <v>1</v>
      </c>
      <c r="F97" s="447"/>
      <c r="G97" s="448"/>
      <c r="H97" s="166"/>
    </row>
    <row r="98" spans="1:8">
      <c r="A98" s="445">
        <v>94</v>
      </c>
      <c r="B98" s="445" t="s">
        <v>815</v>
      </c>
      <c r="C98" s="446" t="s">
        <v>823</v>
      </c>
      <c r="D98" s="449" t="s">
        <v>630</v>
      </c>
      <c r="E98" s="445">
        <v>1</v>
      </c>
      <c r="F98" s="447"/>
      <c r="G98" s="448"/>
      <c r="H98" s="166"/>
    </row>
    <row r="99" spans="1:8">
      <c r="A99" s="445">
        <v>95</v>
      </c>
      <c r="B99" s="445" t="s">
        <v>815</v>
      </c>
      <c r="C99" s="446" t="s">
        <v>824</v>
      </c>
      <c r="D99" s="449" t="s">
        <v>621</v>
      </c>
      <c r="E99" s="445">
        <v>1800</v>
      </c>
      <c r="F99" s="447"/>
      <c r="G99" s="448"/>
      <c r="H99" s="166"/>
    </row>
    <row r="100" spans="1:8">
      <c r="A100" s="445">
        <v>96</v>
      </c>
      <c r="B100" s="445" t="s">
        <v>815</v>
      </c>
      <c r="C100" s="446" t="s">
        <v>825</v>
      </c>
      <c r="D100" s="449" t="s">
        <v>630</v>
      </c>
      <c r="E100" s="445">
        <v>1</v>
      </c>
      <c r="F100" s="447"/>
      <c r="G100" s="448"/>
      <c r="H100" s="166"/>
    </row>
    <row r="101" spans="1:8" ht="36.65" customHeight="1">
      <c r="A101" s="445">
        <v>97</v>
      </c>
      <c r="B101" s="445" t="s">
        <v>815</v>
      </c>
      <c r="C101" s="446" t="s">
        <v>826</v>
      </c>
      <c r="D101" s="449" t="s">
        <v>630</v>
      </c>
      <c r="E101" s="445">
        <v>1</v>
      </c>
      <c r="F101" s="447"/>
      <c r="G101" s="448"/>
      <c r="H101" s="166"/>
    </row>
    <row r="102" spans="1:8">
      <c r="A102" s="445">
        <v>98</v>
      </c>
      <c r="B102" s="445" t="s">
        <v>815</v>
      </c>
      <c r="C102" s="446" t="s">
        <v>827</v>
      </c>
      <c r="D102" s="449" t="s">
        <v>828</v>
      </c>
      <c r="E102" s="445">
        <v>1</v>
      </c>
      <c r="F102" s="447"/>
      <c r="G102" s="448"/>
      <c r="H102" s="166"/>
    </row>
    <row r="103" spans="1:8">
      <c r="A103" s="445">
        <v>99</v>
      </c>
      <c r="B103" s="445" t="s">
        <v>815</v>
      </c>
      <c r="C103" s="446" t="s">
        <v>829</v>
      </c>
      <c r="D103" s="449" t="s">
        <v>830</v>
      </c>
      <c r="E103" s="445">
        <v>1</v>
      </c>
      <c r="F103" s="447"/>
      <c r="G103" s="448"/>
      <c r="H103" s="166"/>
    </row>
    <row r="104" spans="1:8" ht="27.65" customHeight="1">
      <c r="A104" s="445">
        <v>100</v>
      </c>
      <c r="B104" s="445" t="s">
        <v>815</v>
      </c>
      <c r="C104" s="446" t="s">
        <v>831</v>
      </c>
      <c r="D104" s="445" t="s">
        <v>392</v>
      </c>
      <c r="E104" s="445">
        <v>50</v>
      </c>
      <c r="F104" s="448"/>
      <c r="G104" s="448"/>
      <c r="H104" s="166"/>
    </row>
    <row r="105" spans="1:8">
      <c r="A105" s="445">
        <v>101</v>
      </c>
      <c r="B105" s="445" t="s">
        <v>815</v>
      </c>
      <c r="C105" s="445" t="s">
        <v>832</v>
      </c>
      <c r="D105" s="449" t="s">
        <v>92</v>
      </c>
      <c r="E105" s="445">
        <v>21</v>
      </c>
      <c r="F105" s="447"/>
      <c r="G105" s="448"/>
      <c r="H105" s="166"/>
    </row>
    <row r="106" spans="1:8">
      <c r="A106" s="445">
        <v>102</v>
      </c>
      <c r="B106" s="445" t="s">
        <v>731</v>
      </c>
      <c r="C106" s="446" t="s">
        <v>833</v>
      </c>
      <c r="D106" s="449" t="s">
        <v>92</v>
      </c>
      <c r="E106" s="445">
        <v>0.41</v>
      </c>
      <c r="F106" s="447"/>
      <c r="G106" s="448"/>
      <c r="H106" s="166"/>
    </row>
    <row r="107" spans="1:8">
      <c r="A107" s="445">
        <v>103</v>
      </c>
      <c r="B107" s="445" t="s">
        <v>731</v>
      </c>
      <c r="C107" s="446" t="s">
        <v>834</v>
      </c>
      <c r="D107" s="449" t="s">
        <v>92</v>
      </c>
      <c r="E107" s="445">
        <v>0.41</v>
      </c>
      <c r="F107" s="447"/>
      <c r="G107" s="448"/>
      <c r="H107" s="166"/>
    </row>
    <row r="108" spans="1:8">
      <c r="A108" s="445">
        <v>104</v>
      </c>
      <c r="B108" s="445" t="s">
        <v>721</v>
      </c>
      <c r="C108" s="445" t="s">
        <v>835</v>
      </c>
      <c r="D108" s="449" t="s">
        <v>536</v>
      </c>
      <c r="E108" s="445">
        <v>0.15</v>
      </c>
      <c r="F108" s="447"/>
      <c r="G108" s="448"/>
      <c r="H108" s="166"/>
    </row>
    <row r="109" spans="1:8">
      <c r="A109" s="445">
        <v>105</v>
      </c>
      <c r="B109" s="445" t="s">
        <v>725</v>
      </c>
      <c r="C109" s="446" t="s">
        <v>836</v>
      </c>
      <c r="D109" s="449" t="s">
        <v>92</v>
      </c>
      <c r="E109" s="445">
        <v>30</v>
      </c>
      <c r="F109" s="447"/>
      <c r="G109" s="448"/>
      <c r="H109" s="166"/>
    </row>
    <row r="110" spans="1:8">
      <c r="A110" s="445">
        <v>106</v>
      </c>
      <c r="B110" s="445" t="s">
        <v>721</v>
      </c>
      <c r="C110" s="445" t="s">
        <v>837</v>
      </c>
      <c r="D110" s="449" t="s">
        <v>536</v>
      </c>
      <c r="E110" s="445">
        <f>4.2/6</f>
        <v>0.70000000000000007</v>
      </c>
      <c r="F110" s="447"/>
      <c r="G110" s="448"/>
      <c r="H110" s="166"/>
    </row>
    <row r="111" spans="1:8">
      <c r="A111" s="445">
        <v>107</v>
      </c>
      <c r="B111" s="445" t="s">
        <v>721</v>
      </c>
      <c r="C111" s="445" t="s">
        <v>838</v>
      </c>
      <c r="D111" s="449" t="s">
        <v>92</v>
      </c>
      <c r="E111" s="445">
        <v>0.86</v>
      </c>
      <c r="F111" s="447"/>
      <c r="G111" s="448"/>
      <c r="H111" s="166"/>
    </row>
    <row r="112" spans="1:8">
      <c r="A112" s="445">
        <v>108</v>
      </c>
      <c r="B112" s="445" t="s">
        <v>721</v>
      </c>
      <c r="C112" s="445" t="s">
        <v>839</v>
      </c>
      <c r="D112" s="449" t="s">
        <v>92</v>
      </c>
      <c r="E112" s="445">
        <v>0.2</v>
      </c>
      <c r="F112" s="447"/>
      <c r="G112" s="448"/>
      <c r="H112" s="166"/>
    </row>
    <row r="113" spans="1:8">
      <c r="A113" s="445">
        <v>109</v>
      </c>
      <c r="B113" s="445" t="s">
        <v>721</v>
      </c>
      <c r="C113" s="445" t="s">
        <v>840</v>
      </c>
      <c r="D113" s="449" t="s">
        <v>92</v>
      </c>
      <c r="E113" s="445">
        <v>0.2</v>
      </c>
      <c r="F113" s="447"/>
      <c r="G113" s="448"/>
      <c r="H113" s="166"/>
    </row>
    <row r="114" spans="1:8">
      <c r="A114" s="445">
        <v>110</v>
      </c>
      <c r="B114" s="445" t="s">
        <v>789</v>
      </c>
      <c r="C114" s="445" t="s">
        <v>841</v>
      </c>
      <c r="D114" s="449" t="s">
        <v>536</v>
      </c>
      <c r="E114" s="445">
        <v>0.01</v>
      </c>
      <c r="F114" s="447"/>
      <c r="G114" s="448"/>
      <c r="H114" s="166"/>
    </row>
    <row r="115" spans="1:8">
      <c r="A115" s="445">
        <v>111</v>
      </c>
      <c r="B115" s="445" t="s">
        <v>789</v>
      </c>
      <c r="C115" s="445" t="s">
        <v>842</v>
      </c>
      <c r="D115" s="449" t="s">
        <v>536</v>
      </c>
      <c r="E115" s="445">
        <v>0.01</v>
      </c>
      <c r="F115" s="447"/>
      <c r="G115" s="448"/>
      <c r="H115" s="166"/>
    </row>
    <row r="116" spans="1:8">
      <c r="A116" s="445">
        <v>112</v>
      </c>
      <c r="B116" s="445" t="s">
        <v>717</v>
      </c>
      <c r="C116" s="445" t="s">
        <v>843</v>
      </c>
      <c r="D116" s="449" t="s">
        <v>536</v>
      </c>
      <c r="E116" s="445">
        <v>0.67</v>
      </c>
      <c r="F116" s="447"/>
      <c r="G116" s="448"/>
      <c r="H116" s="166"/>
    </row>
    <row r="117" spans="1:8">
      <c r="A117" s="445">
        <v>113</v>
      </c>
      <c r="B117" s="445" t="s">
        <v>717</v>
      </c>
      <c r="C117" s="445" t="s">
        <v>844</v>
      </c>
      <c r="D117" s="449" t="s">
        <v>536</v>
      </c>
      <c r="E117" s="445">
        <v>0.64</v>
      </c>
      <c r="F117" s="447"/>
      <c r="G117" s="448"/>
      <c r="H117" s="166"/>
    </row>
    <row r="118" spans="1:8" ht="42">
      <c r="A118" s="445">
        <v>114</v>
      </c>
      <c r="B118" s="445" t="s">
        <v>845</v>
      </c>
      <c r="C118" s="446" t="s">
        <v>846</v>
      </c>
      <c r="D118" s="445" t="s">
        <v>92</v>
      </c>
      <c r="E118" s="445">
        <v>150</v>
      </c>
      <c r="F118" s="448"/>
      <c r="G118" s="448"/>
      <c r="H118" s="166"/>
    </row>
    <row r="119" spans="1:8">
      <c r="A119" s="445">
        <v>115</v>
      </c>
      <c r="B119" s="445" t="s">
        <v>727</v>
      </c>
      <c r="C119" s="445" t="s">
        <v>847</v>
      </c>
      <c r="D119" s="449" t="s">
        <v>92</v>
      </c>
      <c r="E119" s="445">
        <v>1</v>
      </c>
      <c r="F119" s="447"/>
      <c r="G119" s="448"/>
      <c r="H119" s="166"/>
    </row>
    <row r="120" spans="1:8">
      <c r="A120" s="445">
        <v>116</v>
      </c>
      <c r="B120" s="445" t="s">
        <v>721</v>
      </c>
      <c r="C120" s="445" t="s">
        <v>848</v>
      </c>
      <c r="D120" s="449" t="s">
        <v>92</v>
      </c>
      <c r="E120" s="445">
        <v>0.1</v>
      </c>
      <c r="F120" s="447"/>
      <c r="G120" s="448"/>
      <c r="H120" s="166"/>
    </row>
    <row r="121" spans="1:8">
      <c r="A121" s="445">
        <v>117</v>
      </c>
      <c r="B121" s="445" t="s">
        <v>789</v>
      </c>
      <c r="C121" s="445" t="s">
        <v>849</v>
      </c>
      <c r="D121" s="449" t="s">
        <v>536</v>
      </c>
      <c r="E121" s="445">
        <v>0.01</v>
      </c>
      <c r="F121" s="447"/>
      <c r="G121" s="448"/>
      <c r="H121" s="166"/>
    </row>
    <row r="122" spans="1:8">
      <c r="A122" s="445">
        <v>118</v>
      </c>
      <c r="B122" s="445" t="s">
        <v>725</v>
      </c>
      <c r="C122" s="445" t="s">
        <v>850</v>
      </c>
      <c r="D122" s="449" t="s">
        <v>92</v>
      </c>
      <c r="E122" s="445">
        <v>1.21</v>
      </c>
      <c r="F122" s="447"/>
      <c r="G122" s="448"/>
      <c r="H122" s="166"/>
    </row>
    <row r="123" spans="1:8">
      <c r="A123" s="445">
        <v>119</v>
      </c>
      <c r="B123" s="445" t="s">
        <v>731</v>
      </c>
      <c r="C123" s="445" t="s">
        <v>851</v>
      </c>
      <c r="D123" s="449" t="s">
        <v>92</v>
      </c>
      <c r="E123" s="445">
        <v>0.24</v>
      </c>
      <c r="F123" s="447"/>
      <c r="G123" s="448"/>
      <c r="H123" s="166"/>
    </row>
    <row r="124" spans="1:8">
      <c r="A124" s="445">
        <v>120</v>
      </c>
      <c r="B124" s="445" t="s">
        <v>791</v>
      </c>
      <c r="C124" s="445" t="s">
        <v>852</v>
      </c>
      <c r="D124" s="449" t="s">
        <v>92</v>
      </c>
      <c r="E124" s="445">
        <v>6.8000000000000005E-2</v>
      </c>
      <c r="F124" s="447"/>
      <c r="G124" s="448"/>
      <c r="H124" s="166"/>
    </row>
    <row r="125" spans="1:8">
      <c r="A125" s="445">
        <v>121</v>
      </c>
      <c r="B125" s="445" t="s">
        <v>791</v>
      </c>
      <c r="C125" s="445" t="s">
        <v>853</v>
      </c>
      <c r="D125" s="449" t="s">
        <v>92</v>
      </c>
      <c r="E125" s="445">
        <v>5.8999999999999997E-2</v>
      </c>
      <c r="F125" s="447"/>
      <c r="G125" s="448"/>
      <c r="H125" s="166"/>
    </row>
    <row r="126" spans="1:8">
      <c r="A126" s="445">
        <v>122</v>
      </c>
      <c r="B126" s="445" t="s">
        <v>791</v>
      </c>
      <c r="C126" s="445" t="s">
        <v>854</v>
      </c>
      <c r="D126" s="449" t="s">
        <v>92</v>
      </c>
      <c r="E126" s="445">
        <v>0.03</v>
      </c>
      <c r="F126" s="447"/>
      <c r="G126" s="448"/>
      <c r="H126" s="166"/>
    </row>
    <row r="127" spans="1:8">
      <c r="A127" s="445">
        <v>123</v>
      </c>
      <c r="B127" s="445" t="s">
        <v>717</v>
      </c>
      <c r="C127" s="445" t="s">
        <v>855</v>
      </c>
      <c r="D127" s="449" t="s">
        <v>92</v>
      </c>
      <c r="E127" s="445">
        <v>0.01</v>
      </c>
      <c r="F127" s="447"/>
      <c r="G127" s="448"/>
      <c r="H127" s="166"/>
    </row>
    <row r="128" spans="1:8">
      <c r="A128" s="445">
        <v>124</v>
      </c>
      <c r="B128" s="445" t="s">
        <v>717</v>
      </c>
      <c r="C128" s="445" t="s">
        <v>856</v>
      </c>
      <c r="D128" s="449" t="s">
        <v>536</v>
      </c>
      <c r="E128" s="445">
        <v>3.4000000000000002E-2</v>
      </c>
      <c r="F128" s="447"/>
      <c r="G128" s="448"/>
      <c r="H128" s="166"/>
    </row>
    <row r="129" spans="1:8">
      <c r="A129" s="445">
        <v>125</v>
      </c>
      <c r="B129" s="445" t="s">
        <v>789</v>
      </c>
      <c r="C129" s="445" t="s">
        <v>857</v>
      </c>
      <c r="D129" s="449" t="s">
        <v>92</v>
      </c>
      <c r="E129" s="445">
        <v>1E-3</v>
      </c>
      <c r="F129" s="447"/>
      <c r="G129" s="448"/>
      <c r="H129" s="166"/>
    </row>
    <row r="130" spans="1:8">
      <c r="A130" s="445">
        <v>126</v>
      </c>
      <c r="B130" s="445" t="s">
        <v>791</v>
      </c>
      <c r="C130" s="445" t="s">
        <v>858</v>
      </c>
      <c r="D130" s="449" t="s">
        <v>92</v>
      </c>
      <c r="E130" s="445">
        <v>0.05</v>
      </c>
      <c r="F130" s="447"/>
      <c r="G130" s="448"/>
      <c r="H130" s="166"/>
    </row>
    <row r="131" spans="1:8" ht="28">
      <c r="A131" s="445">
        <v>127</v>
      </c>
      <c r="B131" s="445" t="s">
        <v>789</v>
      </c>
      <c r="C131" s="446" t="s">
        <v>859</v>
      </c>
      <c r="D131" s="445" t="s">
        <v>92</v>
      </c>
      <c r="E131" s="445">
        <v>5</v>
      </c>
      <c r="F131" s="447"/>
      <c r="G131" s="448"/>
      <c r="H131" s="166"/>
    </row>
    <row r="132" spans="1:8">
      <c r="A132" s="445">
        <v>128</v>
      </c>
      <c r="B132" s="445" t="s">
        <v>789</v>
      </c>
      <c r="C132" s="445" t="s">
        <v>860</v>
      </c>
      <c r="D132" s="449" t="s">
        <v>536</v>
      </c>
      <c r="E132" s="445">
        <v>1</v>
      </c>
      <c r="F132" s="447"/>
      <c r="G132" s="448"/>
      <c r="H132" s="166"/>
    </row>
    <row r="133" spans="1:8">
      <c r="A133" s="445">
        <v>129</v>
      </c>
      <c r="B133" s="445" t="s">
        <v>721</v>
      </c>
      <c r="C133" s="445" t="s">
        <v>861</v>
      </c>
      <c r="D133" s="449" t="s">
        <v>92</v>
      </c>
      <c r="E133" s="445">
        <v>0.1</v>
      </c>
      <c r="F133" s="447"/>
      <c r="G133" s="448"/>
      <c r="H133" s="166"/>
    </row>
    <row r="134" spans="1:8">
      <c r="A134" s="445">
        <v>130</v>
      </c>
      <c r="B134" s="445" t="s">
        <v>721</v>
      </c>
      <c r="C134" s="445" t="s">
        <v>862</v>
      </c>
      <c r="D134" s="449" t="s">
        <v>92</v>
      </c>
      <c r="E134" s="445">
        <v>0.1</v>
      </c>
      <c r="F134" s="447"/>
      <c r="G134" s="448"/>
      <c r="H134" s="166"/>
    </row>
    <row r="135" spans="1:8">
      <c r="A135" s="445">
        <v>131</v>
      </c>
      <c r="B135" s="445" t="s">
        <v>717</v>
      </c>
      <c r="C135" s="445" t="s">
        <v>863</v>
      </c>
      <c r="D135" s="449" t="s">
        <v>536</v>
      </c>
      <c r="E135" s="445">
        <v>5.8200000000000002E-2</v>
      </c>
      <c r="F135" s="447"/>
      <c r="G135" s="448"/>
      <c r="H135" s="166"/>
    </row>
    <row r="136" spans="1:8">
      <c r="A136" s="445">
        <v>132</v>
      </c>
      <c r="B136" s="445" t="s">
        <v>717</v>
      </c>
      <c r="C136" s="445" t="s">
        <v>864</v>
      </c>
      <c r="D136" s="449" t="s">
        <v>536</v>
      </c>
      <c r="E136" s="445">
        <f>2.95/50</f>
        <v>5.9000000000000004E-2</v>
      </c>
      <c r="F136" s="447"/>
      <c r="G136" s="448"/>
      <c r="H136" s="166"/>
    </row>
    <row r="137" spans="1:8">
      <c r="A137" s="445">
        <v>133</v>
      </c>
      <c r="B137" s="445" t="s">
        <v>721</v>
      </c>
      <c r="C137" s="445" t="s">
        <v>865</v>
      </c>
      <c r="D137" s="449" t="s">
        <v>92</v>
      </c>
      <c r="E137" s="445">
        <v>0.18</v>
      </c>
      <c r="F137" s="447"/>
      <c r="G137" s="448"/>
      <c r="H137" s="166"/>
    </row>
    <row r="138" spans="1:8">
      <c r="A138" s="445">
        <v>134</v>
      </c>
      <c r="B138" s="445" t="s">
        <v>721</v>
      </c>
      <c r="C138" s="445" t="s">
        <v>866</v>
      </c>
      <c r="D138" s="449" t="s">
        <v>536</v>
      </c>
      <c r="E138" s="451">
        <f>5.17/3</f>
        <v>1.7233333333333334</v>
      </c>
      <c r="F138" s="447"/>
      <c r="G138" s="448"/>
      <c r="H138" s="166"/>
    </row>
    <row r="139" spans="1:8">
      <c r="A139" s="445">
        <v>135</v>
      </c>
      <c r="B139" s="445" t="s">
        <v>761</v>
      </c>
      <c r="C139" s="445" t="s">
        <v>867</v>
      </c>
      <c r="D139" s="449" t="s">
        <v>92</v>
      </c>
      <c r="E139" s="445">
        <v>0.5</v>
      </c>
      <c r="F139" s="447"/>
      <c r="G139" s="448"/>
      <c r="H139" s="166"/>
    </row>
    <row r="140" spans="1:8">
      <c r="A140" s="445">
        <v>136</v>
      </c>
      <c r="B140" s="445" t="s">
        <v>727</v>
      </c>
      <c r="C140" s="445" t="s">
        <v>868</v>
      </c>
      <c r="D140" s="449" t="s">
        <v>92</v>
      </c>
      <c r="E140" s="445">
        <v>1</v>
      </c>
      <c r="F140" s="447"/>
      <c r="G140" s="448"/>
      <c r="H140" s="166"/>
    </row>
    <row r="141" spans="1:8">
      <c r="A141" s="445">
        <v>137</v>
      </c>
      <c r="B141" s="445" t="s">
        <v>721</v>
      </c>
      <c r="C141" s="445" t="s">
        <v>869</v>
      </c>
      <c r="D141" s="449" t="s">
        <v>536</v>
      </c>
      <c r="E141" s="445">
        <v>0.1</v>
      </c>
      <c r="F141" s="447"/>
      <c r="G141" s="448"/>
      <c r="H141" s="166"/>
    </row>
    <row r="142" spans="1:8">
      <c r="A142" s="445">
        <v>138</v>
      </c>
      <c r="B142" s="445" t="s">
        <v>789</v>
      </c>
      <c r="C142" s="445" t="s">
        <v>870</v>
      </c>
      <c r="D142" s="449" t="s">
        <v>92</v>
      </c>
      <c r="E142" s="445">
        <v>0.2</v>
      </c>
      <c r="F142" s="447"/>
      <c r="G142" s="448"/>
      <c r="H142" s="166"/>
    </row>
    <row r="143" spans="1:8" ht="77.5" customHeight="1">
      <c r="A143" s="445">
        <v>139</v>
      </c>
      <c r="B143" s="445" t="s">
        <v>725</v>
      </c>
      <c r="C143" s="446" t="s">
        <v>871</v>
      </c>
      <c r="D143" s="445" t="s">
        <v>92</v>
      </c>
      <c r="E143" s="445">
        <v>15</v>
      </c>
      <c r="F143" s="447"/>
      <c r="G143" s="448"/>
      <c r="H143" s="166"/>
    </row>
    <row r="144" spans="1:8">
      <c r="A144" s="445">
        <v>140</v>
      </c>
      <c r="B144" s="445" t="s">
        <v>789</v>
      </c>
      <c r="C144" s="445" t="s">
        <v>872</v>
      </c>
      <c r="D144" s="449" t="s">
        <v>752</v>
      </c>
      <c r="E144" s="445">
        <v>0.01</v>
      </c>
      <c r="F144" s="447"/>
      <c r="G144" s="448"/>
      <c r="H144" s="166"/>
    </row>
    <row r="145" spans="1:8">
      <c r="A145" s="445">
        <v>141</v>
      </c>
      <c r="B145" s="445" t="s">
        <v>789</v>
      </c>
      <c r="C145" s="445" t="s">
        <v>873</v>
      </c>
      <c r="D145" s="449" t="s">
        <v>92</v>
      </c>
      <c r="E145" s="445">
        <v>5.0000000000000001E-3</v>
      </c>
      <c r="F145" s="447"/>
      <c r="G145" s="448"/>
      <c r="H145" s="166"/>
    </row>
    <row r="146" spans="1:8">
      <c r="A146" s="445">
        <v>142</v>
      </c>
      <c r="B146" s="445" t="s">
        <v>731</v>
      </c>
      <c r="C146" s="445" t="s">
        <v>874</v>
      </c>
      <c r="D146" s="449" t="s">
        <v>92</v>
      </c>
      <c r="E146" s="445">
        <v>0.24</v>
      </c>
      <c r="F146" s="447"/>
      <c r="G146" s="448"/>
      <c r="H146" s="166"/>
    </row>
    <row r="147" spans="1:8">
      <c r="A147" s="445">
        <v>143</v>
      </c>
      <c r="B147" s="445" t="s">
        <v>731</v>
      </c>
      <c r="C147" s="445" t="s">
        <v>875</v>
      </c>
      <c r="D147" s="449" t="s">
        <v>92</v>
      </c>
      <c r="E147" s="445">
        <v>0.3</v>
      </c>
      <c r="F147" s="447"/>
      <c r="G147" s="448"/>
      <c r="H147" s="166"/>
    </row>
    <row r="148" spans="1:8">
      <c r="A148" s="445">
        <v>144</v>
      </c>
      <c r="B148" s="445" t="s">
        <v>731</v>
      </c>
      <c r="C148" s="445" t="s">
        <v>876</v>
      </c>
      <c r="D148" s="449" t="s">
        <v>92</v>
      </c>
      <c r="E148" s="445">
        <v>0.16</v>
      </c>
      <c r="F148" s="447"/>
      <c r="G148" s="448"/>
      <c r="H148" s="166"/>
    </row>
    <row r="149" spans="1:8">
      <c r="A149" s="445">
        <v>145</v>
      </c>
      <c r="B149" s="445" t="s">
        <v>717</v>
      </c>
      <c r="C149" s="445" t="s">
        <v>877</v>
      </c>
      <c r="D149" s="449" t="s">
        <v>536</v>
      </c>
      <c r="E149" s="445">
        <v>0.4</v>
      </c>
      <c r="F149" s="447"/>
      <c r="G149" s="448"/>
      <c r="H149" s="166"/>
    </row>
    <row r="150" spans="1:8">
      <c r="A150" s="445">
        <v>146</v>
      </c>
      <c r="B150" s="445" t="s">
        <v>717</v>
      </c>
      <c r="C150" s="445" t="s">
        <v>878</v>
      </c>
      <c r="D150" s="449" t="s">
        <v>536</v>
      </c>
      <c r="E150" s="445">
        <v>0.35899999999999999</v>
      </c>
      <c r="F150" s="447"/>
      <c r="G150" s="448"/>
      <c r="H150" s="166"/>
    </row>
    <row r="151" spans="1:8">
      <c r="A151" s="445">
        <v>147</v>
      </c>
      <c r="B151" s="445" t="s">
        <v>715</v>
      </c>
      <c r="C151" s="445" t="s">
        <v>879</v>
      </c>
      <c r="D151" s="449" t="s">
        <v>92</v>
      </c>
      <c r="E151" s="445">
        <v>2.5</v>
      </c>
      <c r="F151" s="447"/>
      <c r="G151" s="448"/>
      <c r="H151" s="166"/>
    </row>
    <row r="152" spans="1:8" ht="28">
      <c r="A152" s="445">
        <v>148</v>
      </c>
      <c r="B152" s="445" t="s">
        <v>715</v>
      </c>
      <c r="C152" s="446" t="s">
        <v>880</v>
      </c>
      <c r="D152" s="445" t="s">
        <v>92</v>
      </c>
      <c r="E152" s="445">
        <v>45</v>
      </c>
      <c r="F152" s="447"/>
      <c r="G152" s="448"/>
      <c r="H152" s="166"/>
    </row>
    <row r="153" spans="1:8">
      <c r="A153" s="445">
        <v>149</v>
      </c>
      <c r="B153" s="445" t="s">
        <v>715</v>
      </c>
      <c r="C153" s="446" t="s">
        <v>881</v>
      </c>
      <c r="D153" s="449" t="s">
        <v>92</v>
      </c>
      <c r="E153" s="445">
        <v>4.5999999999999996</v>
      </c>
      <c r="F153" s="447"/>
      <c r="G153" s="448"/>
      <c r="H153" s="166"/>
    </row>
    <row r="154" spans="1:8">
      <c r="A154" s="445">
        <v>150</v>
      </c>
      <c r="B154" s="445" t="s">
        <v>815</v>
      </c>
      <c r="C154" s="445" t="s">
        <v>882</v>
      </c>
      <c r="D154" s="449" t="s">
        <v>630</v>
      </c>
      <c r="E154" s="445">
        <v>1</v>
      </c>
      <c r="F154" s="447"/>
      <c r="G154" s="448"/>
      <c r="H154" s="166"/>
    </row>
    <row r="155" spans="1:8">
      <c r="A155" s="445">
        <v>151</v>
      </c>
      <c r="B155" s="445" t="s">
        <v>815</v>
      </c>
      <c r="C155" s="445" t="s">
        <v>883</v>
      </c>
      <c r="D155" s="449" t="s">
        <v>92</v>
      </c>
      <c r="E155" s="445">
        <v>40</v>
      </c>
      <c r="F155" s="447"/>
      <c r="G155" s="448"/>
      <c r="H155" s="166"/>
    </row>
    <row r="156" spans="1:8">
      <c r="A156" s="445">
        <v>152</v>
      </c>
      <c r="B156" s="445" t="s">
        <v>777</v>
      </c>
      <c r="C156" s="445" t="s">
        <v>884</v>
      </c>
      <c r="D156" s="449" t="s">
        <v>92</v>
      </c>
      <c r="E156" s="445">
        <v>2</v>
      </c>
      <c r="F156" s="447"/>
      <c r="G156" s="448"/>
      <c r="H156" s="166"/>
    </row>
    <row r="157" spans="1:8">
      <c r="A157" s="445">
        <v>153</v>
      </c>
      <c r="B157" s="445" t="s">
        <v>721</v>
      </c>
      <c r="C157" s="445" t="s">
        <v>885</v>
      </c>
      <c r="D157" s="449" t="s">
        <v>536</v>
      </c>
      <c r="E157" s="445">
        <v>0.5</v>
      </c>
      <c r="F157" s="447"/>
      <c r="G157" s="448"/>
      <c r="H157" s="166"/>
    </row>
    <row r="158" spans="1:8">
      <c r="A158" s="445">
        <v>154</v>
      </c>
      <c r="B158" s="445" t="s">
        <v>721</v>
      </c>
      <c r="C158" s="445" t="s">
        <v>886</v>
      </c>
      <c r="D158" s="449" t="s">
        <v>92</v>
      </c>
      <c r="E158" s="445">
        <v>0.1</v>
      </c>
      <c r="F158" s="447"/>
      <c r="G158" s="448"/>
      <c r="H158" s="166"/>
    </row>
    <row r="159" spans="1:8">
      <c r="A159" s="445">
        <v>155</v>
      </c>
      <c r="B159" s="445" t="s">
        <v>721</v>
      </c>
      <c r="C159" s="445" t="s">
        <v>887</v>
      </c>
      <c r="D159" s="449" t="s">
        <v>92</v>
      </c>
      <c r="E159" s="445">
        <v>0.19</v>
      </c>
      <c r="F159" s="447"/>
      <c r="G159" s="448"/>
      <c r="H159" s="166"/>
    </row>
    <row r="160" spans="1:8">
      <c r="A160" s="445">
        <v>156</v>
      </c>
      <c r="B160" s="445" t="s">
        <v>727</v>
      </c>
      <c r="C160" s="445" t="s">
        <v>888</v>
      </c>
      <c r="D160" s="449" t="s">
        <v>92</v>
      </c>
      <c r="E160" s="445">
        <v>1.2</v>
      </c>
      <c r="F160" s="447"/>
      <c r="G160" s="448"/>
      <c r="H160" s="166"/>
    </row>
    <row r="161" spans="1:8">
      <c r="A161" s="445">
        <v>157</v>
      </c>
      <c r="B161" s="445" t="s">
        <v>727</v>
      </c>
      <c r="C161" s="445" t="s">
        <v>889</v>
      </c>
      <c r="D161" s="449" t="s">
        <v>92</v>
      </c>
      <c r="E161" s="445">
        <v>3.5</v>
      </c>
      <c r="F161" s="447"/>
      <c r="G161" s="448"/>
      <c r="H161" s="166"/>
    </row>
    <row r="162" spans="1:8">
      <c r="A162" s="445">
        <v>158</v>
      </c>
      <c r="B162" s="445" t="s">
        <v>727</v>
      </c>
      <c r="C162" s="445" t="s">
        <v>890</v>
      </c>
      <c r="D162" s="449" t="s">
        <v>92</v>
      </c>
      <c r="E162" s="445">
        <v>0.5</v>
      </c>
      <c r="F162" s="447"/>
      <c r="G162" s="448"/>
      <c r="H162" s="166"/>
    </row>
    <row r="163" spans="1:8">
      <c r="A163" s="445">
        <v>159</v>
      </c>
      <c r="B163" s="445" t="s">
        <v>731</v>
      </c>
      <c r="C163" s="445" t="s">
        <v>891</v>
      </c>
      <c r="D163" s="449" t="s">
        <v>92</v>
      </c>
      <c r="E163" s="445">
        <v>0.35</v>
      </c>
      <c r="F163" s="447"/>
      <c r="G163" s="448"/>
      <c r="H163" s="166"/>
    </row>
    <row r="164" spans="1:8">
      <c r="A164" s="445">
        <v>160</v>
      </c>
      <c r="B164" s="445" t="s">
        <v>731</v>
      </c>
      <c r="C164" s="445" t="s">
        <v>892</v>
      </c>
      <c r="D164" s="449" t="s">
        <v>92</v>
      </c>
      <c r="E164" s="445">
        <v>0.3</v>
      </c>
      <c r="F164" s="447"/>
      <c r="G164" s="448"/>
      <c r="H164" s="166"/>
    </row>
    <row r="165" spans="1:8">
      <c r="A165" s="445">
        <v>161</v>
      </c>
      <c r="B165" s="445" t="s">
        <v>731</v>
      </c>
      <c r="C165" s="445" t="s">
        <v>893</v>
      </c>
      <c r="D165" s="449" t="s">
        <v>92</v>
      </c>
      <c r="E165" s="445">
        <v>0.3</v>
      </c>
      <c r="F165" s="447"/>
      <c r="G165" s="448"/>
      <c r="H165" s="166"/>
    </row>
    <row r="166" spans="1:8">
      <c r="A166" s="445">
        <v>162</v>
      </c>
      <c r="B166" s="445" t="s">
        <v>727</v>
      </c>
      <c r="C166" s="445" t="s">
        <v>894</v>
      </c>
      <c r="D166" s="449" t="s">
        <v>92</v>
      </c>
      <c r="E166" s="445">
        <v>0.5</v>
      </c>
      <c r="F166" s="447"/>
      <c r="G166" s="448"/>
      <c r="H166" s="166"/>
    </row>
    <row r="167" spans="1:8" ht="42">
      <c r="A167" s="445">
        <v>163</v>
      </c>
      <c r="B167" s="445" t="s">
        <v>715</v>
      </c>
      <c r="C167" s="446" t="s">
        <v>895</v>
      </c>
      <c r="D167" s="445" t="s">
        <v>92</v>
      </c>
      <c r="E167" s="445">
        <v>3</v>
      </c>
      <c r="F167" s="447"/>
      <c r="G167" s="448"/>
      <c r="H167" s="166"/>
    </row>
    <row r="168" spans="1:8">
      <c r="A168" s="445">
        <v>164</v>
      </c>
      <c r="B168" s="445" t="s">
        <v>727</v>
      </c>
      <c r="C168" s="445" t="s">
        <v>896</v>
      </c>
      <c r="D168" s="449" t="s">
        <v>92</v>
      </c>
      <c r="E168" s="445">
        <v>2.1</v>
      </c>
      <c r="F168" s="447"/>
      <c r="G168" s="448"/>
      <c r="H168" s="166"/>
    </row>
    <row r="169" spans="1:8">
      <c r="A169" s="445">
        <v>165</v>
      </c>
      <c r="B169" s="445" t="s">
        <v>717</v>
      </c>
      <c r="C169" s="445" t="s">
        <v>897</v>
      </c>
      <c r="D169" s="449" t="s">
        <v>536</v>
      </c>
      <c r="E169" s="445">
        <v>0.152</v>
      </c>
      <c r="F169" s="447"/>
      <c r="G169" s="448"/>
      <c r="H169" s="166"/>
    </row>
    <row r="170" spans="1:8">
      <c r="A170" s="445">
        <v>166</v>
      </c>
      <c r="B170" s="445" t="s">
        <v>717</v>
      </c>
      <c r="C170" s="445" t="s">
        <v>898</v>
      </c>
      <c r="D170" s="449" t="s">
        <v>536</v>
      </c>
      <c r="E170" s="445">
        <v>0.23499999999999999</v>
      </c>
      <c r="F170" s="447"/>
      <c r="G170" s="448"/>
      <c r="H170" s="166"/>
    </row>
    <row r="171" spans="1:8">
      <c r="A171" s="445">
        <v>167</v>
      </c>
      <c r="B171" s="445" t="s">
        <v>717</v>
      </c>
      <c r="C171" s="445" t="s">
        <v>899</v>
      </c>
      <c r="D171" s="449" t="s">
        <v>536</v>
      </c>
      <c r="E171" s="445">
        <v>0.55200000000000005</v>
      </c>
      <c r="F171" s="447"/>
      <c r="G171" s="448"/>
      <c r="H171" s="166"/>
    </row>
    <row r="172" spans="1:8">
      <c r="A172" s="445">
        <v>168</v>
      </c>
      <c r="B172" s="445" t="s">
        <v>727</v>
      </c>
      <c r="C172" s="445" t="s">
        <v>900</v>
      </c>
      <c r="D172" s="449" t="s">
        <v>92</v>
      </c>
      <c r="E172" s="445">
        <v>0.35</v>
      </c>
      <c r="F172" s="447"/>
      <c r="G172" s="448"/>
      <c r="H172" s="166"/>
    </row>
    <row r="173" spans="1:8">
      <c r="A173" s="445">
        <v>169</v>
      </c>
      <c r="B173" s="445" t="s">
        <v>731</v>
      </c>
      <c r="C173" s="445" t="s">
        <v>901</v>
      </c>
      <c r="D173" s="449" t="s">
        <v>92</v>
      </c>
      <c r="E173" s="445">
        <v>0.24</v>
      </c>
      <c r="F173" s="447"/>
      <c r="G173" s="448"/>
      <c r="H173" s="166"/>
    </row>
    <row r="174" spans="1:8">
      <c r="A174" s="445">
        <v>170</v>
      </c>
      <c r="B174" s="445" t="s">
        <v>727</v>
      </c>
      <c r="C174" s="445" t="s">
        <v>902</v>
      </c>
      <c r="D174" s="449" t="s">
        <v>92</v>
      </c>
      <c r="E174" s="445">
        <v>0.5</v>
      </c>
      <c r="F174" s="447"/>
      <c r="G174" s="448"/>
      <c r="H174" s="166"/>
    </row>
    <row r="175" spans="1:8">
      <c r="A175" s="445">
        <v>171</v>
      </c>
      <c r="B175" s="445" t="s">
        <v>731</v>
      </c>
      <c r="C175" s="445" t="s">
        <v>903</v>
      </c>
      <c r="D175" s="449" t="s">
        <v>92</v>
      </c>
      <c r="E175" s="445">
        <v>0.3</v>
      </c>
      <c r="F175" s="447"/>
      <c r="G175" s="448"/>
      <c r="H175" s="166"/>
    </row>
    <row r="176" spans="1:8">
      <c r="A176" s="445">
        <v>172</v>
      </c>
      <c r="B176" s="445" t="s">
        <v>721</v>
      </c>
      <c r="C176" s="445" t="s">
        <v>904</v>
      </c>
      <c r="D176" s="449" t="s">
        <v>536</v>
      </c>
      <c r="E176" s="445">
        <v>0.4</v>
      </c>
      <c r="F176" s="447"/>
      <c r="G176" s="448"/>
      <c r="H176" s="166"/>
    </row>
    <row r="177" spans="1:8">
      <c r="A177" s="445">
        <v>173</v>
      </c>
      <c r="B177" s="445" t="s">
        <v>717</v>
      </c>
      <c r="C177" s="445" t="s">
        <v>905</v>
      </c>
      <c r="D177" s="449" t="s">
        <v>536</v>
      </c>
      <c r="E177" s="445">
        <v>0.14599999999999999</v>
      </c>
      <c r="F177" s="447"/>
      <c r="G177" s="448"/>
      <c r="H177" s="166"/>
    </row>
    <row r="178" spans="1:8">
      <c r="A178" s="445">
        <v>174</v>
      </c>
      <c r="B178" s="445" t="s">
        <v>727</v>
      </c>
      <c r="C178" s="445" t="s">
        <v>906</v>
      </c>
      <c r="D178" s="449" t="s">
        <v>92</v>
      </c>
      <c r="E178" s="445">
        <v>0.2</v>
      </c>
      <c r="F178" s="447"/>
      <c r="G178" s="448"/>
      <c r="H178" s="166"/>
    </row>
    <row r="179" spans="1:8">
      <c r="A179" s="445">
        <v>175</v>
      </c>
      <c r="B179" s="445" t="s">
        <v>715</v>
      </c>
      <c r="C179" s="445" t="s">
        <v>907</v>
      </c>
      <c r="D179" s="445" t="s">
        <v>92</v>
      </c>
      <c r="E179" s="445">
        <v>30</v>
      </c>
      <c r="F179" s="447"/>
      <c r="G179" s="448"/>
      <c r="H179" s="166"/>
    </row>
    <row r="180" spans="1:8" ht="42">
      <c r="A180" s="445">
        <v>176</v>
      </c>
      <c r="B180" s="445" t="s">
        <v>715</v>
      </c>
      <c r="C180" s="446" t="s">
        <v>908</v>
      </c>
      <c r="D180" s="445" t="s">
        <v>92</v>
      </c>
      <c r="E180" s="445">
        <v>3</v>
      </c>
      <c r="F180" s="447"/>
      <c r="G180" s="448"/>
      <c r="H180" s="166"/>
    </row>
    <row r="181" spans="1:8">
      <c r="A181" s="445">
        <v>177</v>
      </c>
      <c r="B181" s="445" t="s">
        <v>727</v>
      </c>
      <c r="C181" s="445" t="s">
        <v>909</v>
      </c>
      <c r="D181" s="449" t="s">
        <v>92</v>
      </c>
      <c r="E181" s="445">
        <v>1.8</v>
      </c>
      <c r="F181" s="447"/>
      <c r="G181" s="448"/>
      <c r="H181" s="166"/>
    </row>
    <row r="182" spans="1:8">
      <c r="A182" s="445">
        <v>178</v>
      </c>
      <c r="B182" s="445" t="s">
        <v>731</v>
      </c>
      <c r="C182" s="445" t="s">
        <v>910</v>
      </c>
      <c r="D182" s="449" t="s">
        <v>92</v>
      </c>
      <c r="E182" s="445">
        <v>0.24</v>
      </c>
      <c r="F182" s="447"/>
      <c r="G182" s="448"/>
      <c r="H182" s="166"/>
    </row>
    <row r="183" spans="1:8">
      <c r="A183" s="445">
        <v>179</v>
      </c>
      <c r="B183" s="445" t="s">
        <v>731</v>
      </c>
      <c r="C183" s="445" t="s">
        <v>911</v>
      </c>
      <c r="D183" s="449" t="s">
        <v>92</v>
      </c>
      <c r="E183" s="445">
        <v>0.35</v>
      </c>
      <c r="F183" s="447"/>
      <c r="G183" s="448"/>
      <c r="H183" s="166"/>
    </row>
    <row r="184" spans="1:8">
      <c r="A184" s="445">
        <v>180</v>
      </c>
      <c r="B184" s="445" t="s">
        <v>727</v>
      </c>
      <c r="C184" s="445" t="s">
        <v>912</v>
      </c>
      <c r="D184" s="449" t="s">
        <v>92</v>
      </c>
      <c r="E184" s="445">
        <v>0.5</v>
      </c>
      <c r="F184" s="447"/>
      <c r="G184" s="448"/>
      <c r="H184" s="166"/>
    </row>
    <row r="185" spans="1:8">
      <c r="A185" s="445">
        <v>181</v>
      </c>
      <c r="B185" s="445" t="s">
        <v>731</v>
      </c>
      <c r="C185" s="445" t="s">
        <v>913</v>
      </c>
      <c r="D185" s="445" t="s">
        <v>92</v>
      </c>
      <c r="E185" s="445">
        <v>0.4</v>
      </c>
      <c r="F185" s="447"/>
      <c r="G185" s="448"/>
      <c r="H185" s="166"/>
    </row>
    <row r="186" spans="1:8">
      <c r="A186" s="445">
        <v>182</v>
      </c>
      <c r="B186" s="445" t="s">
        <v>727</v>
      </c>
      <c r="C186" s="445" t="s">
        <v>914</v>
      </c>
      <c r="D186" s="449" t="s">
        <v>92</v>
      </c>
      <c r="E186" s="445">
        <v>1.3</v>
      </c>
      <c r="F186" s="447"/>
      <c r="G186" s="448"/>
      <c r="H186" s="166"/>
    </row>
    <row r="187" spans="1:8">
      <c r="A187" s="445">
        <v>183</v>
      </c>
      <c r="B187" s="445" t="s">
        <v>727</v>
      </c>
      <c r="C187" s="445" t="s">
        <v>915</v>
      </c>
      <c r="D187" s="449" t="s">
        <v>92</v>
      </c>
      <c r="E187" s="445">
        <v>0.7</v>
      </c>
      <c r="F187" s="447"/>
      <c r="G187" s="448"/>
      <c r="H187" s="166"/>
    </row>
    <row r="188" spans="1:8">
      <c r="A188" s="445">
        <v>184</v>
      </c>
      <c r="B188" s="445" t="s">
        <v>727</v>
      </c>
      <c r="C188" s="445" t="s">
        <v>916</v>
      </c>
      <c r="D188" s="449" t="s">
        <v>92</v>
      </c>
      <c r="E188" s="445">
        <v>0.38</v>
      </c>
      <c r="F188" s="447"/>
      <c r="G188" s="448"/>
      <c r="H188" s="166"/>
    </row>
    <row r="189" spans="1:8">
      <c r="A189" s="445">
        <v>185</v>
      </c>
      <c r="B189" s="445" t="s">
        <v>727</v>
      </c>
      <c r="C189" s="445" t="s">
        <v>917</v>
      </c>
      <c r="D189" s="449" t="s">
        <v>92</v>
      </c>
      <c r="E189" s="445">
        <v>0.6</v>
      </c>
      <c r="F189" s="447"/>
      <c r="G189" s="448"/>
      <c r="H189" s="166"/>
    </row>
    <row r="190" spans="1:8">
      <c r="A190" s="445">
        <v>186</v>
      </c>
      <c r="B190" s="445" t="s">
        <v>731</v>
      </c>
      <c r="C190" s="445" t="s">
        <v>918</v>
      </c>
      <c r="D190" s="449" t="s">
        <v>92</v>
      </c>
      <c r="E190" s="445">
        <v>0.48</v>
      </c>
      <c r="F190" s="447"/>
      <c r="G190" s="448"/>
      <c r="H190" s="166"/>
    </row>
    <row r="191" spans="1:8">
      <c r="A191" s="445">
        <v>187</v>
      </c>
      <c r="B191" s="445" t="s">
        <v>731</v>
      </c>
      <c r="C191" s="445" t="s">
        <v>919</v>
      </c>
      <c r="D191" s="449" t="s">
        <v>92</v>
      </c>
      <c r="E191" s="445">
        <v>0.48</v>
      </c>
      <c r="F191" s="447"/>
      <c r="G191" s="448"/>
      <c r="H191" s="166"/>
    </row>
    <row r="192" spans="1:8">
      <c r="A192" s="445">
        <v>188</v>
      </c>
      <c r="B192" s="445" t="s">
        <v>731</v>
      </c>
      <c r="C192" s="445" t="s">
        <v>920</v>
      </c>
      <c r="D192" s="445" t="s">
        <v>92</v>
      </c>
      <c r="E192" s="445">
        <v>0.4</v>
      </c>
      <c r="F192" s="447"/>
      <c r="G192" s="448"/>
      <c r="H192" s="166"/>
    </row>
    <row r="193" spans="1:8">
      <c r="A193" s="445">
        <v>189</v>
      </c>
      <c r="B193" s="445" t="s">
        <v>725</v>
      </c>
      <c r="C193" s="445" t="s">
        <v>921</v>
      </c>
      <c r="D193" s="449" t="s">
        <v>92</v>
      </c>
      <c r="E193" s="445">
        <v>1.1000000000000001</v>
      </c>
      <c r="F193" s="447"/>
      <c r="G193" s="448"/>
      <c r="H193" s="166"/>
    </row>
    <row r="194" spans="1:8">
      <c r="A194" s="445">
        <v>190</v>
      </c>
      <c r="B194" s="445" t="s">
        <v>727</v>
      </c>
      <c r="C194" s="445" t="s">
        <v>922</v>
      </c>
      <c r="D194" s="449" t="s">
        <v>92</v>
      </c>
      <c r="E194" s="445">
        <v>0.4</v>
      </c>
      <c r="F194" s="447"/>
      <c r="G194" s="448"/>
      <c r="H194" s="166"/>
    </row>
    <row r="195" spans="1:8">
      <c r="A195" s="445">
        <v>191</v>
      </c>
      <c r="B195" s="445" t="s">
        <v>731</v>
      </c>
      <c r="C195" s="445" t="s">
        <v>923</v>
      </c>
      <c r="D195" s="449" t="s">
        <v>92</v>
      </c>
      <c r="E195" s="445">
        <v>0.48</v>
      </c>
      <c r="F195" s="447"/>
      <c r="G195" s="448"/>
      <c r="H195" s="166"/>
    </row>
    <row r="196" spans="1:8">
      <c r="A196" s="445">
        <v>192</v>
      </c>
      <c r="B196" s="445" t="s">
        <v>721</v>
      </c>
      <c r="C196" s="445" t="s">
        <v>924</v>
      </c>
      <c r="D196" s="449" t="s">
        <v>536</v>
      </c>
      <c r="E196" s="445">
        <v>0.3</v>
      </c>
      <c r="F196" s="447"/>
      <c r="G196" s="448"/>
      <c r="H196" s="166"/>
    </row>
    <row r="197" spans="1:8">
      <c r="A197" s="445">
        <v>193</v>
      </c>
      <c r="B197" s="445" t="s">
        <v>777</v>
      </c>
      <c r="C197" s="445" t="s">
        <v>925</v>
      </c>
      <c r="D197" s="449" t="s">
        <v>92</v>
      </c>
      <c r="E197" s="445">
        <v>0</v>
      </c>
      <c r="F197" s="447"/>
      <c r="G197" s="448"/>
      <c r="H197" s="166"/>
    </row>
    <row r="198" spans="1:8">
      <c r="A198" s="445">
        <v>194</v>
      </c>
      <c r="B198" s="445" t="s">
        <v>777</v>
      </c>
      <c r="C198" s="445" t="s">
        <v>926</v>
      </c>
      <c r="D198" s="449" t="s">
        <v>610</v>
      </c>
      <c r="E198" s="445">
        <v>10</v>
      </c>
      <c r="F198" s="447"/>
      <c r="G198" s="448"/>
      <c r="H198" s="166"/>
    </row>
    <row r="199" spans="1:8">
      <c r="A199" s="445">
        <v>195</v>
      </c>
      <c r="B199" s="445" t="s">
        <v>777</v>
      </c>
      <c r="C199" s="445" t="s">
        <v>927</v>
      </c>
      <c r="D199" s="449" t="s">
        <v>610</v>
      </c>
      <c r="E199" s="445">
        <v>20</v>
      </c>
      <c r="F199" s="447"/>
      <c r="G199" s="448"/>
      <c r="H199" s="166"/>
    </row>
    <row r="200" spans="1:8">
      <c r="A200" s="445">
        <v>196</v>
      </c>
      <c r="B200" s="445" t="s">
        <v>777</v>
      </c>
      <c r="C200" s="445" t="s">
        <v>928</v>
      </c>
      <c r="D200" s="449" t="s">
        <v>610</v>
      </c>
      <c r="E200" s="445">
        <v>25</v>
      </c>
      <c r="F200" s="447"/>
      <c r="G200" s="448"/>
      <c r="H200" s="166"/>
    </row>
    <row r="201" spans="1:8">
      <c r="A201" s="445">
        <v>197</v>
      </c>
      <c r="B201" s="445" t="s">
        <v>777</v>
      </c>
      <c r="C201" s="445" t="s">
        <v>929</v>
      </c>
      <c r="D201" s="449" t="s">
        <v>92</v>
      </c>
      <c r="E201" s="445">
        <v>0</v>
      </c>
      <c r="F201" s="447"/>
      <c r="G201" s="448"/>
      <c r="H201" s="166"/>
    </row>
    <row r="202" spans="1:8">
      <c r="A202" s="445">
        <v>198</v>
      </c>
      <c r="B202" s="445" t="s">
        <v>777</v>
      </c>
      <c r="C202" s="445" t="s">
        <v>930</v>
      </c>
      <c r="D202" s="449" t="s">
        <v>92</v>
      </c>
      <c r="E202" s="445">
        <v>15</v>
      </c>
      <c r="F202" s="447"/>
      <c r="G202" s="448"/>
      <c r="H202" s="166"/>
    </row>
    <row r="203" spans="1:8">
      <c r="A203" s="445">
        <v>199</v>
      </c>
      <c r="B203" s="445" t="s">
        <v>777</v>
      </c>
      <c r="C203" s="445" t="s">
        <v>931</v>
      </c>
      <c r="D203" s="449" t="s">
        <v>92</v>
      </c>
      <c r="E203" s="445">
        <v>20</v>
      </c>
      <c r="F203" s="447"/>
      <c r="G203" s="448"/>
      <c r="H203" s="166"/>
    </row>
    <row r="204" spans="1:8">
      <c r="A204" s="445">
        <v>200</v>
      </c>
      <c r="B204" s="445" t="s">
        <v>815</v>
      </c>
      <c r="C204" s="445" t="s">
        <v>932</v>
      </c>
      <c r="D204" s="449" t="s">
        <v>828</v>
      </c>
      <c r="E204" s="445">
        <v>1.5</v>
      </c>
      <c r="F204" s="447"/>
      <c r="G204" s="448"/>
      <c r="H204" s="166"/>
    </row>
    <row r="205" spans="1:8">
      <c r="A205" s="445">
        <v>201</v>
      </c>
      <c r="B205" s="445" t="s">
        <v>815</v>
      </c>
      <c r="C205" s="445" t="s">
        <v>933</v>
      </c>
      <c r="D205" s="449" t="s">
        <v>828</v>
      </c>
      <c r="E205" s="445">
        <v>3</v>
      </c>
      <c r="F205" s="447"/>
      <c r="G205" s="448"/>
      <c r="H205" s="166"/>
    </row>
    <row r="206" spans="1:8">
      <c r="A206" s="445">
        <v>202</v>
      </c>
      <c r="B206" s="445" t="s">
        <v>815</v>
      </c>
      <c r="C206" s="445" t="s">
        <v>829</v>
      </c>
      <c r="D206" s="449" t="s">
        <v>934</v>
      </c>
      <c r="E206" s="445">
        <v>4</v>
      </c>
      <c r="F206" s="447"/>
      <c r="G206" s="448"/>
      <c r="H206" s="166"/>
    </row>
    <row r="207" spans="1:8">
      <c r="A207" s="445">
        <v>203</v>
      </c>
      <c r="B207" s="445" t="s">
        <v>815</v>
      </c>
      <c r="C207" s="445" t="s">
        <v>935</v>
      </c>
      <c r="D207" s="449" t="s">
        <v>828</v>
      </c>
      <c r="E207" s="445">
        <v>0.6</v>
      </c>
      <c r="F207" s="447"/>
      <c r="G207" s="448"/>
      <c r="H207" s="166"/>
    </row>
    <row r="208" spans="1:8">
      <c r="A208" s="445">
        <v>204</v>
      </c>
      <c r="B208" s="445" t="s">
        <v>815</v>
      </c>
      <c r="C208" s="445" t="s">
        <v>936</v>
      </c>
      <c r="D208" s="449" t="s">
        <v>828</v>
      </c>
      <c r="E208" s="445">
        <f>38/500</f>
        <v>7.5999999999999998E-2</v>
      </c>
      <c r="F208" s="447"/>
      <c r="G208" s="448"/>
      <c r="H208" s="166"/>
    </row>
    <row r="209" spans="1:8">
      <c r="A209" s="445">
        <v>205</v>
      </c>
      <c r="B209" s="445" t="s">
        <v>815</v>
      </c>
      <c r="C209" s="445" t="s">
        <v>937</v>
      </c>
      <c r="D209" s="449" t="s">
        <v>828</v>
      </c>
      <c r="E209" s="445">
        <v>10.44</v>
      </c>
      <c r="F209" s="447"/>
      <c r="G209" s="448"/>
      <c r="H209" s="166"/>
    </row>
    <row r="210" spans="1:8">
      <c r="A210" s="445">
        <v>206</v>
      </c>
      <c r="B210" s="445" t="s">
        <v>815</v>
      </c>
      <c r="C210" s="445" t="s">
        <v>938</v>
      </c>
      <c r="D210" s="449" t="s">
        <v>828</v>
      </c>
      <c r="E210" s="445">
        <v>21.56</v>
      </c>
      <c r="F210" s="447"/>
      <c r="G210" s="448"/>
      <c r="H210" s="166"/>
    </row>
    <row r="211" spans="1:8">
      <c r="A211" s="445">
        <v>207</v>
      </c>
      <c r="B211" s="445" t="s">
        <v>815</v>
      </c>
      <c r="C211" s="445" t="s">
        <v>939</v>
      </c>
      <c r="D211" s="449" t="s">
        <v>828</v>
      </c>
      <c r="E211" s="445">
        <v>17.16</v>
      </c>
      <c r="F211" s="447"/>
      <c r="G211" s="448"/>
      <c r="H211" s="166"/>
    </row>
    <row r="212" spans="1:8">
      <c r="A212" s="445">
        <v>208</v>
      </c>
      <c r="B212" s="445" t="s">
        <v>815</v>
      </c>
      <c r="C212" s="445" t="s">
        <v>940</v>
      </c>
      <c r="D212" s="449" t="s">
        <v>828</v>
      </c>
      <c r="E212" s="445">
        <v>38.6</v>
      </c>
      <c r="F212" s="447"/>
      <c r="G212" s="448"/>
      <c r="H212" s="166"/>
    </row>
    <row r="213" spans="1:8" ht="28">
      <c r="A213" s="445">
        <v>209</v>
      </c>
      <c r="B213" s="445" t="s">
        <v>815</v>
      </c>
      <c r="C213" s="446" t="s">
        <v>941</v>
      </c>
      <c r="D213" s="449" t="s">
        <v>621</v>
      </c>
      <c r="E213" s="452">
        <v>2600</v>
      </c>
      <c r="F213" s="447"/>
      <c r="G213" s="448"/>
      <c r="H213" s="166"/>
    </row>
    <row r="214" spans="1:8">
      <c r="A214" s="445">
        <v>210</v>
      </c>
      <c r="B214" s="445" t="s">
        <v>815</v>
      </c>
      <c r="C214" s="445" t="s">
        <v>942</v>
      </c>
      <c r="D214" s="449" t="s">
        <v>621</v>
      </c>
      <c r="E214" s="445">
        <v>2400</v>
      </c>
      <c r="F214" s="447"/>
      <c r="G214" s="448"/>
      <c r="H214" s="166"/>
    </row>
    <row r="215" spans="1:8" ht="56">
      <c r="A215" s="445">
        <v>211</v>
      </c>
      <c r="B215" s="445" t="s">
        <v>815</v>
      </c>
      <c r="C215" s="446" t="s">
        <v>943</v>
      </c>
      <c r="D215" s="453" t="s">
        <v>944</v>
      </c>
      <c r="E215" s="445">
        <v>25</v>
      </c>
      <c r="F215" s="448"/>
      <c r="G215" s="448"/>
      <c r="H215" s="166"/>
    </row>
    <row r="216" spans="1:8">
      <c r="A216" s="445">
        <v>212</v>
      </c>
      <c r="B216" s="445" t="s">
        <v>717</v>
      </c>
      <c r="C216" s="445" t="s">
        <v>945</v>
      </c>
      <c r="D216" s="445" t="s">
        <v>536</v>
      </c>
      <c r="E216" s="445">
        <v>0.12</v>
      </c>
      <c r="F216" s="448"/>
      <c r="G216" s="448"/>
      <c r="H216" s="166"/>
    </row>
    <row r="217" spans="1:8">
      <c r="A217" s="445">
        <v>224</v>
      </c>
      <c r="B217" s="445" t="s">
        <v>731</v>
      </c>
      <c r="C217" s="445" t="s">
        <v>946</v>
      </c>
      <c r="D217" s="449" t="s">
        <v>92</v>
      </c>
      <c r="E217" s="445">
        <v>0.24</v>
      </c>
      <c r="F217" s="448"/>
      <c r="G217" s="448"/>
      <c r="H217" s="166"/>
    </row>
    <row r="218" spans="1:8">
      <c r="A218" s="445">
        <v>225</v>
      </c>
      <c r="B218" s="445" t="s">
        <v>731</v>
      </c>
      <c r="C218" s="445" t="s">
        <v>947</v>
      </c>
      <c r="D218" s="449" t="s">
        <v>92</v>
      </c>
      <c r="E218" s="445">
        <v>0.15</v>
      </c>
      <c r="F218" s="448"/>
      <c r="G218" s="448"/>
      <c r="H218" s="166"/>
    </row>
    <row r="219" spans="1:8">
      <c r="A219" s="445">
        <v>226</v>
      </c>
      <c r="B219" s="445" t="s">
        <v>731</v>
      </c>
      <c r="C219" s="446" t="s">
        <v>948</v>
      </c>
      <c r="D219" s="449" t="s">
        <v>92</v>
      </c>
      <c r="E219" s="445">
        <v>0.2</v>
      </c>
      <c r="F219" s="448"/>
      <c r="G219" s="448"/>
      <c r="H219" s="166"/>
    </row>
    <row r="220" spans="1:8">
      <c r="A220" s="445">
        <v>227</v>
      </c>
      <c r="B220" s="445" t="s">
        <v>731</v>
      </c>
      <c r="C220" s="445" t="s">
        <v>949</v>
      </c>
      <c r="D220" s="449" t="s">
        <v>92</v>
      </c>
      <c r="E220" s="445">
        <v>0.1</v>
      </c>
      <c r="F220" s="448"/>
      <c r="G220" s="448"/>
      <c r="H220" s="166"/>
    </row>
    <row r="221" spans="1:8">
      <c r="A221" s="445">
        <v>228</v>
      </c>
      <c r="B221" s="445" t="s">
        <v>731</v>
      </c>
      <c r="C221" s="445" t="s">
        <v>950</v>
      </c>
      <c r="D221" s="449" t="s">
        <v>92</v>
      </c>
      <c r="E221" s="445">
        <v>0.15</v>
      </c>
      <c r="F221" s="448"/>
      <c r="G221" s="448"/>
      <c r="H221" s="166"/>
    </row>
    <row r="222" spans="1:8">
      <c r="A222" s="445">
        <v>229</v>
      </c>
      <c r="B222" s="445" t="s">
        <v>731</v>
      </c>
      <c r="C222" s="445" t="s">
        <v>951</v>
      </c>
      <c r="D222" s="449" t="s">
        <v>92</v>
      </c>
      <c r="E222" s="445">
        <v>0.15</v>
      </c>
      <c r="F222" s="448"/>
      <c r="G222" s="448"/>
      <c r="H222" s="166"/>
    </row>
    <row r="223" spans="1:8">
      <c r="A223" s="445">
        <v>230</v>
      </c>
      <c r="B223" s="445" t="s">
        <v>777</v>
      </c>
      <c r="C223" s="445" t="s">
        <v>952</v>
      </c>
      <c r="D223" s="445" t="s">
        <v>92</v>
      </c>
      <c r="E223" s="445">
        <v>1</v>
      </c>
      <c r="F223" s="447"/>
      <c r="G223" s="448"/>
      <c r="H223" s="166"/>
    </row>
    <row r="224" spans="1:8">
      <c r="A224" s="445">
        <v>231</v>
      </c>
      <c r="B224" s="445" t="s">
        <v>777</v>
      </c>
      <c r="C224" s="445" t="s">
        <v>953</v>
      </c>
      <c r="D224" s="449" t="s">
        <v>92</v>
      </c>
      <c r="E224" s="445">
        <v>1</v>
      </c>
      <c r="F224" s="447"/>
      <c r="G224" s="448"/>
      <c r="H224" s="166"/>
    </row>
    <row r="225" spans="1:8">
      <c r="A225" s="445">
        <v>232</v>
      </c>
      <c r="B225" s="445" t="s">
        <v>777</v>
      </c>
      <c r="C225" s="445" t="s">
        <v>954</v>
      </c>
      <c r="D225" s="449" t="s">
        <v>92</v>
      </c>
      <c r="E225" s="445">
        <v>0.5</v>
      </c>
      <c r="F225" s="447"/>
      <c r="G225" s="448"/>
      <c r="H225" s="166"/>
    </row>
    <row r="226" spans="1:8">
      <c r="A226" s="445">
        <v>233</v>
      </c>
      <c r="B226" s="445" t="s">
        <v>715</v>
      </c>
      <c r="C226" s="445" t="s">
        <v>955</v>
      </c>
      <c r="D226" s="445" t="s">
        <v>92</v>
      </c>
      <c r="E226" s="445">
        <v>28.9</v>
      </c>
      <c r="F226" s="447"/>
      <c r="G226" s="448"/>
      <c r="H226" s="166"/>
    </row>
    <row r="227" spans="1:8">
      <c r="A227" s="445">
        <v>234</v>
      </c>
      <c r="B227" s="445" t="s">
        <v>717</v>
      </c>
      <c r="C227" s="445" t="s">
        <v>956</v>
      </c>
      <c r="D227" s="449" t="s">
        <v>536</v>
      </c>
      <c r="E227" s="445">
        <v>6.5199999999999994E-2</v>
      </c>
      <c r="F227" s="447"/>
      <c r="G227" s="448"/>
      <c r="H227" s="166"/>
    </row>
    <row r="228" spans="1:8">
      <c r="A228" s="445">
        <v>235</v>
      </c>
      <c r="B228" s="445" t="s">
        <v>731</v>
      </c>
      <c r="C228" s="445" t="s">
        <v>957</v>
      </c>
      <c r="D228" s="445" t="s">
        <v>92</v>
      </c>
      <c r="E228" s="445">
        <v>0.2</v>
      </c>
      <c r="F228" s="447"/>
      <c r="G228" s="448"/>
      <c r="H228" s="166"/>
    </row>
    <row r="229" spans="1:8">
      <c r="A229" s="445">
        <v>236</v>
      </c>
      <c r="B229" s="445" t="s">
        <v>734</v>
      </c>
      <c r="C229" s="445" t="s">
        <v>958</v>
      </c>
      <c r="D229" s="449" t="s">
        <v>92</v>
      </c>
      <c r="E229" s="445">
        <v>0.24</v>
      </c>
      <c r="F229" s="447"/>
      <c r="G229" s="448"/>
      <c r="H229" s="166"/>
    </row>
    <row r="230" spans="1:8">
      <c r="A230" s="445">
        <v>237</v>
      </c>
      <c r="B230" s="445" t="s">
        <v>717</v>
      </c>
      <c r="C230" s="445" t="s">
        <v>959</v>
      </c>
      <c r="D230" s="449" t="s">
        <v>536</v>
      </c>
      <c r="E230" s="445">
        <v>0.23499999999999999</v>
      </c>
      <c r="F230" s="447"/>
      <c r="G230" s="448"/>
      <c r="H230" s="166"/>
    </row>
    <row r="231" spans="1:8">
      <c r="A231" s="445">
        <v>238</v>
      </c>
      <c r="B231" s="445" t="s">
        <v>717</v>
      </c>
      <c r="C231" s="445" t="s">
        <v>960</v>
      </c>
      <c r="D231" s="449" t="s">
        <v>536</v>
      </c>
      <c r="E231" s="445">
        <v>0.35</v>
      </c>
      <c r="F231" s="447"/>
      <c r="G231" s="448"/>
      <c r="H231" s="166"/>
    </row>
    <row r="232" spans="1:8">
      <c r="A232" s="445">
        <v>239</v>
      </c>
      <c r="B232" s="445" t="s">
        <v>717</v>
      </c>
      <c r="C232" s="445" t="s">
        <v>961</v>
      </c>
      <c r="D232" s="449" t="s">
        <v>536</v>
      </c>
      <c r="E232" s="445">
        <v>0.54800000000000004</v>
      </c>
      <c r="F232" s="447"/>
      <c r="G232" s="448"/>
      <c r="H232" s="166"/>
    </row>
    <row r="233" spans="1:8">
      <c r="A233" s="445">
        <v>240</v>
      </c>
      <c r="B233" s="445" t="s">
        <v>717</v>
      </c>
      <c r="C233" s="445" t="s">
        <v>962</v>
      </c>
      <c r="D233" s="449" t="s">
        <v>536</v>
      </c>
      <c r="E233" s="445">
        <v>0.67800000000000005</v>
      </c>
      <c r="F233" s="447"/>
      <c r="G233" s="448"/>
      <c r="H233" s="166"/>
    </row>
    <row r="234" spans="1:8">
      <c r="A234" s="445">
        <v>241</v>
      </c>
      <c r="B234" s="445" t="s">
        <v>717</v>
      </c>
      <c r="C234" s="445" t="s">
        <v>963</v>
      </c>
      <c r="D234" s="449" t="s">
        <v>536</v>
      </c>
      <c r="E234" s="445">
        <v>0.16800000000000001</v>
      </c>
      <c r="F234" s="447"/>
      <c r="G234" s="448"/>
      <c r="H234" s="166"/>
    </row>
    <row r="235" spans="1:8">
      <c r="A235" s="445">
        <v>242</v>
      </c>
      <c r="B235" s="445" t="s">
        <v>731</v>
      </c>
      <c r="C235" s="445" t="s">
        <v>964</v>
      </c>
      <c r="D235" s="445" t="s">
        <v>92</v>
      </c>
      <c r="E235" s="445">
        <v>0.2</v>
      </c>
      <c r="F235" s="447"/>
      <c r="G235" s="448"/>
      <c r="H235" s="166"/>
    </row>
    <row r="236" spans="1:8">
      <c r="A236" s="445">
        <v>243</v>
      </c>
      <c r="B236" s="445" t="s">
        <v>734</v>
      </c>
      <c r="C236" s="445" t="s">
        <v>965</v>
      </c>
      <c r="D236" s="449" t="s">
        <v>92</v>
      </c>
      <c r="E236" s="445">
        <v>0.24</v>
      </c>
      <c r="F236" s="447"/>
      <c r="G236" s="448"/>
      <c r="H236" s="166"/>
    </row>
    <row r="237" spans="1:8">
      <c r="A237" s="445">
        <v>244</v>
      </c>
      <c r="B237" s="445" t="s">
        <v>717</v>
      </c>
      <c r="C237" s="445" t="s">
        <v>966</v>
      </c>
      <c r="D237" s="445" t="s">
        <v>536</v>
      </c>
      <c r="E237" s="445">
        <v>0.30499999999999999</v>
      </c>
      <c r="F237" s="447"/>
      <c r="G237" s="448"/>
      <c r="H237" s="166"/>
    </row>
    <row r="238" spans="1:8">
      <c r="A238" s="445">
        <v>245</v>
      </c>
      <c r="B238" s="445" t="s">
        <v>761</v>
      </c>
      <c r="C238" s="445" t="s">
        <v>967</v>
      </c>
      <c r="D238" s="449" t="s">
        <v>968</v>
      </c>
      <c r="E238" s="445">
        <v>50</v>
      </c>
      <c r="F238" s="447"/>
      <c r="G238" s="448"/>
      <c r="H238" s="166"/>
    </row>
    <row r="239" spans="1:8">
      <c r="A239" s="445">
        <v>246</v>
      </c>
      <c r="B239" s="445" t="s">
        <v>717</v>
      </c>
      <c r="C239" s="445" t="s">
        <v>969</v>
      </c>
      <c r="D239" s="449" t="s">
        <v>536</v>
      </c>
      <c r="E239" s="445">
        <v>9.6000000000000002E-2</v>
      </c>
      <c r="F239" s="447"/>
      <c r="G239" s="448"/>
      <c r="H239" s="166"/>
    </row>
    <row r="240" spans="1:8">
      <c r="A240" s="445">
        <v>247</v>
      </c>
      <c r="B240" s="445" t="s">
        <v>727</v>
      </c>
      <c r="C240" s="445" t="s">
        <v>970</v>
      </c>
      <c r="D240" s="449" t="s">
        <v>92</v>
      </c>
      <c r="E240" s="445">
        <v>1.5</v>
      </c>
      <c r="F240" s="447"/>
      <c r="G240" s="448"/>
      <c r="H240" s="166"/>
    </row>
    <row r="241" spans="1:8">
      <c r="A241" s="445">
        <v>248</v>
      </c>
      <c r="B241" s="445" t="s">
        <v>731</v>
      </c>
      <c r="C241" s="445" t="s">
        <v>971</v>
      </c>
      <c r="D241" s="445" t="s">
        <v>92</v>
      </c>
      <c r="E241" s="445">
        <v>0.4</v>
      </c>
      <c r="F241" s="447"/>
      <c r="G241" s="448"/>
      <c r="H241" s="166"/>
    </row>
    <row r="242" spans="1:8">
      <c r="A242" s="445">
        <v>249</v>
      </c>
      <c r="B242" s="445" t="s">
        <v>717</v>
      </c>
      <c r="C242" s="445" t="s">
        <v>972</v>
      </c>
      <c r="D242" s="449" t="s">
        <v>536</v>
      </c>
      <c r="E242" s="445">
        <v>1.2350000000000001</v>
      </c>
      <c r="F242" s="447"/>
      <c r="G242" s="448"/>
      <c r="H242" s="166"/>
    </row>
    <row r="243" spans="1:8">
      <c r="A243" s="445">
        <v>250</v>
      </c>
      <c r="B243" s="445" t="s">
        <v>727</v>
      </c>
      <c r="C243" s="445" t="s">
        <v>973</v>
      </c>
      <c r="D243" s="449" t="s">
        <v>92</v>
      </c>
      <c r="E243" s="445">
        <v>3.2</v>
      </c>
      <c r="F243" s="447"/>
      <c r="G243" s="448"/>
      <c r="H243" s="166"/>
    </row>
    <row r="244" spans="1:8">
      <c r="A244" s="445">
        <v>251</v>
      </c>
      <c r="B244" s="445" t="s">
        <v>731</v>
      </c>
      <c r="C244" s="445" t="s">
        <v>974</v>
      </c>
      <c r="D244" s="445" t="s">
        <v>92</v>
      </c>
      <c r="E244" s="445">
        <v>1.5</v>
      </c>
      <c r="F244" s="447"/>
      <c r="G244" s="448"/>
      <c r="H244" s="166"/>
    </row>
    <row r="245" spans="1:8">
      <c r="A245" s="445">
        <v>252</v>
      </c>
      <c r="B245" s="445" t="s">
        <v>717</v>
      </c>
      <c r="C245" s="445" t="s">
        <v>975</v>
      </c>
      <c r="D245" s="449" t="s">
        <v>536</v>
      </c>
      <c r="E245" s="445">
        <v>1.7</v>
      </c>
      <c r="F245" s="447"/>
      <c r="G245" s="448"/>
      <c r="H245" s="166"/>
    </row>
    <row r="246" spans="1:8">
      <c r="A246" s="445">
        <v>253</v>
      </c>
      <c r="B246" s="445" t="s">
        <v>715</v>
      </c>
      <c r="C246" s="445" t="s">
        <v>976</v>
      </c>
      <c r="D246" s="449" t="s">
        <v>92</v>
      </c>
      <c r="E246" s="445">
        <v>162</v>
      </c>
      <c r="F246" s="447"/>
      <c r="G246" s="448"/>
      <c r="H246" s="166"/>
    </row>
    <row r="247" spans="1:8">
      <c r="A247" s="445">
        <v>254</v>
      </c>
      <c r="B247" s="445" t="s">
        <v>731</v>
      </c>
      <c r="C247" s="445" t="s">
        <v>977</v>
      </c>
      <c r="D247" s="449" t="s">
        <v>92</v>
      </c>
      <c r="E247" s="445">
        <v>0.45</v>
      </c>
      <c r="F247" s="447"/>
      <c r="G247" s="448"/>
      <c r="H247" s="166"/>
    </row>
    <row r="248" spans="1:8">
      <c r="A248" s="445">
        <v>255</v>
      </c>
      <c r="B248" s="445" t="s">
        <v>731</v>
      </c>
      <c r="C248" s="445" t="s">
        <v>978</v>
      </c>
      <c r="D248" s="449" t="s">
        <v>92</v>
      </c>
      <c r="E248" s="445">
        <v>0.45</v>
      </c>
      <c r="F248" s="447"/>
      <c r="G248" s="448"/>
      <c r="H248" s="166"/>
    </row>
    <row r="249" spans="1:8">
      <c r="A249" s="445">
        <v>256</v>
      </c>
      <c r="B249" s="445" t="s">
        <v>734</v>
      </c>
      <c r="C249" s="445" t="s">
        <v>979</v>
      </c>
      <c r="D249" s="449" t="s">
        <v>92</v>
      </c>
      <c r="E249" s="445">
        <v>0.24</v>
      </c>
      <c r="F249" s="447"/>
      <c r="G249" s="448"/>
      <c r="H249" s="166"/>
    </row>
    <row r="250" spans="1:8">
      <c r="A250" s="445">
        <v>257</v>
      </c>
      <c r="B250" s="445"/>
      <c r="C250" s="446" t="s">
        <v>980</v>
      </c>
      <c r="D250" s="449" t="s">
        <v>92</v>
      </c>
      <c r="E250" s="445">
        <v>2</v>
      </c>
      <c r="F250" s="447"/>
      <c r="G250" s="448"/>
      <c r="H250" s="167"/>
    </row>
    <row r="251" spans="1:8">
      <c r="A251" s="445">
        <v>258</v>
      </c>
      <c r="B251" s="445"/>
      <c r="C251" s="446" t="s">
        <v>981</v>
      </c>
      <c r="D251" s="449" t="s">
        <v>92</v>
      </c>
      <c r="E251" s="445">
        <v>0.2</v>
      </c>
      <c r="F251" s="447"/>
      <c r="G251" s="448"/>
      <c r="H251" s="167"/>
    </row>
    <row r="252" spans="1:8">
      <c r="A252" s="445">
        <v>259</v>
      </c>
      <c r="B252" s="445"/>
      <c r="C252" s="446" t="s">
        <v>982</v>
      </c>
      <c r="D252" s="449" t="s">
        <v>92</v>
      </c>
      <c r="E252" s="445">
        <v>0.2</v>
      </c>
      <c r="F252" s="447"/>
      <c r="G252" s="448"/>
      <c r="H252" s="167"/>
    </row>
    <row r="253" spans="1:8">
      <c r="A253" s="445">
        <v>260</v>
      </c>
      <c r="B253" s="445"/>
      <c r="C253" s="446" t="s">
        <v>983</v>
      </c>
      <c r="D253" s="449" t="s">
        <v>92</v>
      </c>
      <c r="E253" s="445">
        <v>0.3</v>
      </c>
      <c r="F253" s="447"/>
      <c r="G253" s="448"/>
      <c r="H253" s="167"/>
    </row>
    <row r="254" spans="1:8">
      <c r="A254" s="445">
        <v>261</v>
      </c>
      <c r="B254" s="445"/>
      <c r="C254" s="446" t="s">
        <v>984</v>
      </c>
      <c r="D254" s="449" t="s">
        <v>92</v>
      </c>
      <c r="E254" s="445"/>
      <c r="F254" s="447"/>
      <c r="G254" s="448"/>
      <c r="H254" s="167"/>
    </row>
    <row r="255" spans="1:8">
      <c r="A255" s="445">
        <v>262</v>
      </c>
      <c r="B255" s="445"/>
      <c r="C255" s="446" t="s">
        <v>985</v>
      </c>
      <c r="D255" s="449" t="s">
        <v>92</v>
      </c>
      <c r="E255" s="445"/>
      <c r="F255" s="447"/>
      <c r="G255" s="448"/>
      <c r="H255" s="167"/>
    </row>
    <row r="256" spans="1:8">
      <c r="A256" s="445">
        <v>263</v>
      </c>
      <c r="B256" s="445"/>
      <c r="C256" s="446" t="s">
        <v>986</v>
      </c>
      <c r="D256" s="449" t="s">
        <v>92</v>
      </c>
      <c r="E256" s="445"/>
      <c r="F256" s="447"/>
      <c r="G256" s="448"/>
      <c r="H256" s="167"/>
    </row>
    <row r="257" spans="1:8">
      <c r="A257" s="445">
        <v>264</v>
      </c>
      <c r="B257" s="445"/>
      <c r="C257" s="446" t="s">
        <v>987</v>
      </c>
      <c r="D257" s="449" t="s">
        <v>92</v>
      </c>
      <c r="E257" s="445"/>
      <c r="F257" s="447"/>
      <c r="G257" s="448"/>
      <c r="H257" s="167"/>
    </row>
    <row r="258" spans="1:8">
      <c r="A258" s="445">
        <v>265</v>
      </c>
      <c r="B258" s="445"/>
      <c r="C258" s="446" t="s">
        <v>988</v>
      </c>
      <c r="D258" s="449" t="s">
        <v>92</v>
      </c>
      <c r="E258" s="445"/>
      <c r="F258" s="447"/>
      <c r="G258" s="448"/>
      <c r="H258" s="167"/>
    </row>
    <row r="259" spans="1:8">
      <c r="A259" s="445">
        <v>266</v>
      </c>
      <c r="B259" s="445"/>
      <c r="C259" s="446" t="s">
        <v>989</v>
      </c>
      <c r="D259" s="449" t="s">
        <v>92</v>
      </c>
      <c r="E259" s="445"/>
      <c r="F259" s="447"/>
      <c r="G259" s="448"/>
      <c r="H259" s="167"/>
    </row>
    <row r="260" spans="1:8">
      <c r="A260" s="445">
        <v>267</v>
      </c>
      <c r="B260" s="445"/>
      <c r="C260" s="446" t="s">
        <v>990</v>
      </c>
      <c r="D260" s="449" t="s">
        <v>92</v>
      </c>
      <c r="E260" s="445"/>
      <c r="F260" s="447"/>
      <c r="G260" s="448"/>
      <c r="H260" s="167"/>
    </row>
    <row r="261" spans="1:8">
      <c r="A261" s="445">
        <v>268</v>
      </c>
      <c r="B261" s="445"/>
      <c r="C261" s="446" t="s">
        <v>991</v>
      </c>
      <c r="D261" s="449" t="s">
        <v>92</v>
      </c>
      <c r="E261" s="445"/>
      <c r="F261" s="447"/>
      <c r="G261" s="448"/>
      <c r="H261" s="167"/>
    </row>
    <row r="262" spans="1:8" ht="14.5">
      <c r="A262" s="445">
        <v>269</v>
      </c>
      <c r="B262" s="445"/>
      <c r="C262" s="454" t="s">
        <v>992</v>
      </c>
      <c r="D262" s="449" t="s">
        <v>92</v>
      </c>
      <c r="E262" s="445"/>
      <c r="F262" s="447"/>
      <c r="G262" s="448"/>
      <c r="H262" s="167"/>
    </row>
    <row r="263" spans="1:8" ht="14.5">
      <c r="A263" s="445">
        <v>270</v>
      </c>
      <c r="B263" s="445"/>
      <c r="C263" s="454" t="s">
        <v>993</v>
      </c>
      <c r="D263" s="449" t="s">
        <v>92</v>
      </c>
      <c r="E263" s="445"/>
      <c r="F263" s="447"/>
      <c r="G263" s="448"/>
      <c r="H263" s="167"/>
    </row>
    <row r="264" spans="1:8" ht="14.5">
      <c r="A264" s="445">
        <v>271</v>
      </c>
      <c r="B264" s="445"/>
      <c r="C264" s="454" t="s">
        <v>994</v>
      </c>
      <c r="D264" s="449" t="s">
        <v>92</v>
      </c>
      <c r="E264" s="445"/>
      <c r="F264" s="447"/>
      <c r="G264" s="448"/>
      <c r="H264" s="167"/>
    </row>
    <row r="265" spans="1:8" ht="14.5">
      <c r="A265" s="445">
        <v>272</v>
      </c>
      <c r="B265" s="445"/>
      <c r="C265" s="454" t="s">
        <v>995</v>
      </c>
      <c r="D265" s="449" t="s">
        <v>92</v>
      </c>
      <c r="E265" s="445"/>
      <c r="F265" s="447"/>
      <c r="G265" s="448"/>
      <c r="H265" s="167"/>
    </row>
    <row r="266" spans="1:8" ht="14.5">
      <c r="A266" s="445">
        <v>273</v>
      </c>
      <c r="B266" s="445"/>
      <c r="C266" s="454" t="s">
        <v>996</v>
      </c>
      <c r="D266" s="449" t="s">
        <v>92</v>
      </c>
      <c r="E266" s="445"/>
      <c r="F266" s="447"/>
      <c r="G266" s="448"/>
      <c r="H266" s="167"/>
    </row>
    <row r="267" spans="1:8">
      <c r="A267" s="445">
        <v>274</v>
      </c>
      <c r="B267" s="445"/>
      <c r="C267" s="446" t="s">
        <v>997</v>
      </c>
      <c r="D267" s="449" t="s">
        <v>92</v>
      </c>
      <c r="E267" s="445"/>
      <c r="F267" s="447"/>
      <c r="G267" s="448"/>
      <c r="H267" s="167"/>
    </row>
    <row r="268" spans="1:8">
      <c r="A268" s="445">
        <v>275</v>
      </c>
      <c r="B268" s="445"/>
      <c r="C268" s="446" t="s">
        <v>998</v>
      </c>
      <c r="D268" s="449" t="s">
        <v>92</v>
      </c>
      <c r="E268" s="445"/>
      <c r="F268" s="447"/>
      <c r="G268" s="448"/>
      <c r="H268" s="167"/>
    </row>
    <row r="269" spans="1:8">
      <c r="A269" s="445">
        <v>276</v>
      </c>
      <c r="B269" s="445"/>
      <c r="C269" s="446" t="s">
        <v>999</v>
      </c>
      <c r="D269" s="449" t="s">
        <v>92</v>
      </c>
      <c r="E269" s="445"/>
      <c r="F269" s="447"/>
      <c r="G269" s="448"/>
      <c r="H269" s="167"/>
    </row>
    <row r="270" spans="1:8">
      <c r="A270" s="445">
        <v>277</v>
      </c>
      <c r="B270" s="445"/>
      <c r="C270" s="446" t="s">
        <v>1000</v>
      </c>
      <c r="D270" s="449" t="s">
        <v>92</v>
      </c>
      <c r="E270" s="445"/>
      <c r="F270" s="447"/>
      <c r="G270" s="448"/>
      <c r="H270" s="167"/>
    </row>
    <row r="271" spans="1:8">
      <c r="A271" s="445">
        <v>278</v>
      </c>
      <c r="B271" s="445"/>
      <c r="C271" s="446" t="s">
        <v>1001</v>
      </c>
      <c r="D271" s="449" t="s">
        <v>92</v>
      </c>
      <c r="E271" s="445"/>
      <c r="F271" s="447"/>
      <c r="G271" s="448"/>
      <c r="H271" s="167"/>
    </row>
    <row r="272" spans="1:8">
      <c r="A272" s="445">
        <v>279</v>
      </c>
      <c r="B272" s="445"/>
      <c r="C272" s="446" t="s">
        <v>1002</v>
      </c>
      <c r="D272" s="449" t="s">
        <v>92</v>
      </c>
      <c r="E272" s="445"/>
      <c r="F272" s="447"/>
      <c r="G272" s="448"/>
      <c r="H272" s="167"/>
    </row>
    <row r="273" spans="1:8">
      <c r="A273" s="445">
        <v>280</v>
      </c>
      <c r="B273" s="445"/>
      <c r="C273" s="446" t="s">
        <v>1003</v>
      </c>
      <c r="D273" s="449" t="s">
        <v>92</v>
      </c>
      <c r="E273" s="445"/>
      <c r="F273" s="447"/>
      <c r="G273" s="448"/>
      <c r="H273" s="167"/>
    </row>
    <row r="274" spans="1:8">
      <c r="A274" s="445">
        <v>281</v>
      </c>
      <c r="B274" s="445"/>
      <c r="C274" s="446" t="s">
        <v>1004</v>
      </c>
      <c r="D274" s="449" t="s">
        <v>92</v>
      </c>
      <c r="E274" s="445">
        <v>1</v>
      </c>
      <c r="F274" s="447"/>
      <c r="G274" s="448"/>
      <c r="H274" s="167"/>
    </row>
    <row r="275" spans="1:8">
      <c r="A275" s="445">
        <v>282</v>
      </c>
      <c r="B275" s="445"/>
      <c r="C275" s="446" t="s">
        <v>1005</v>
      </c>
      <c r="D275" s="449" t="s">
        <v>92</v>
      </c>
      <c r="E275" s="445"/>
      <c r="F275" s="447"/>
      <c r="G275" s="448"/>
      <c r="H275" s="167"/>
    </row>
    <row r="276" spans="1:8">
      <c r="A276" s="445">
        <v>283</v>
      </c>
      <c r="B276" s="445"/>
      <c r="C276" s="446" t="s">
        <v>1006</v>
      </c>
      <c r="D276" s="449" t="s">
        <v>92</v>
      </c>
      <c r="E276" s="445"/>
      <c r="F276" s="447"/>
      <c r="G276" s="448"/>
      <c r="H276" s="167"/>
    </row>
    <row r="277" spans="1:8">
      <c r="A277" s="445">
        <v>284</v>
      </c>
      <c r="B277" s="445"/>
      <c r="C277" s="446" t="s">
        <v>1007</v>
      </c>
      <c r="D277" s="449" t="s">
        <v>92</v>
      </c>
      <c r="E277" s="445"/>
      <c r="F277" s="447"/>
      <c r="G277" s="448"/>
      <c r="H277" s="167"/>
    </row>
    <row r="278" spans="1:8">
      <c r="A278" s="445">
        <v>285</v>
      </c>
      <c r="B278" s="445"/>
      <c r="C278" s="446" t="s">
        <v>1008</v>
      </c>
      <c r="D278" s="449" t="s">
        <v>92</v>
      </c>
      <c r="E278" s="445"/>
      <c r="F278" s="447"/>
      <c r="G278" s="448"/>
      <c r="H278" s="167"/>
    </row>
    <row r="279" spans="1:8">
      <c r="A279" s="445">
        <v>286</v>
      </c>
      <c r="B279" s="445"/>
      <c r="C279" s="446" t="s">
        <v>1009</v>
      </c>
      <c r="D279" s="449" t="s">
        <v>92</v>
      </c>
      <c r="E279" s="445"/>
      <c r="F279" s="447"/>
      <c r="G279" s="448"/>
      <c r="H279" s="167"/>
    </row>
    <row r="280" spans="1:8">
      <c r="A280" s="445">
        <v>287</v>
      </c>
      <c r="B280" s="445"/>
      <c r="C280" s="446" t="s">
        <v>1010</v>
      </c>
      <c r="D280" s="449" t="s">
        <v>92</v>
      </c>
      <c r="E280" s="445"/>
      <c r="F280" s="447"/>
      <c r="G280" s="448"/>
      <c r="H280" s="167"/>
    </row>
    <row r="281" spans="1:8">
      <c r="A281" s="445">
        <v>288</v>
      </c>
      <c r="B281" s="445"/>
      <c r="C281" s="446" t="s">
        <v>1011</v>
      </c>
      <c r="D281" s="449" t="s">
        <v>92</v>
      </c>
      <c r="E281" s="445">
        <v>25.5</v>
      </c>
      <c r="F281" s="447"/>
      <c r="G281" s="448"/>
      <c r="H281" s="167"/>
    </row>
    <row r="282" spans="1:8">
      <c r="A282" s="445">
        <v>289</v>
      </c>
      <c r="B282" s="445"/>
      <c r="C282" s="446" t="s">
        <v>1012</v>
      </c>
      <c r="D282" s="449" t="s">
        <v>92</v>
      </c>
      <c r="E282" s="445">
        <v>0.7</v>
      </c>
      <c r="F282" s="447"/>
      <c r="G282" s="448"/>
      <c r="H282" s="167"/>
    </row>
    <row r="283" spans="1:8">
      <c r="A283" s="445">
        <v>290</v>
      </c>
      <c r="B283" s="445"/>
      <c r="C283" s="446" t="s">
        <v>1013</v>
      </c>
      <c r="D283" s="449" t="s">
        <v>92</v>
      </c>
      <c r="E283" s="445"/>
      <c r="F283" s="447"/>
      <c r="G283" s="448"/>
      <c r="H283" s="167"/>
    </row>
    <row r="284" spans="1:8">
      <c r="A284" s="445">
        <v>291</v>
      </c>
      <c r="B284" s="445"/>
      <c r="C284" s="446" t="s">
        <v>1014</v>
      </c>
      <c r="D284" s="449" t="s">
        <v>92</v>
      </c>
      <c r="E284" s="445"/>
      <c r="F284" s="447"/>
      <c r="G284" s="448"/>
      <c r="H284" s="167"/>
    </row>
    <row r="285" spans="1:8">
      <c r="A285" s="445">
        <v>292</v>
      </c>
      <c r="B285" s="445"/>
      <c r="C285" s="446" t="s">
        <v>1015</v>
      </c>
      <c r="D285" s="449" t="s">
        <v>92</v>
      </c>
      <c r="E285" s="445"/>
      <c r="F285" s="447"/>
      <c r="G285" s="448"/>
      <c r="H285" s="167"/>
    </row>
    <row r="286" spans="1:8">
      <c r="A286" s="445">
        <v>293</v>
      </c>
      <c r="B286" s="445"/>
      <c r="C286" s="446" t="s">
        <v>1016</v>
      </c>
      <c r="D286" s="449" t="s">
        <v>92</v>
      </c>
      <c r="E286" s="445"/>
      <c r="F286" s="447"/>
      <c r="G286" s="448"/>
      <c r="H286" s="167"/>
    </row>
    <row r="287" spans="1:8">
      <c r="A287" s="445">
        <v>294</v>
      </c>
      <c r="B287" s="445"/>
      <c r="C287" s="446" t="s">
        <v>1017</v>
      </c>
      <c r="D287" s="449" t="s">
        <v>92</v>
      </c>
      <c r="E287" s="445"/>
      <c r="F287" s="447"/>
      <c r="G287" s="448"/>
      <c r="H287" s="167"/>
    </row>
    <row r="288" spans="1:8">
      <c r="A288" s="445">
        <v>295</v>
      </c>
      <c r="B288" s="445"/>
      <c r="C288" s="446" t="s">
        <v>1018</v>
      </c>
      <c r="D288" s="449" t="s">
        <v>92</v>
      </c>
      <c r="E288" s="445"/>
      <c r="F288" s="447"/>
      <c r="G288" s="448"/>
      <c r="H288" s="167"/>
    </row>
    <row r="289" spans="1:8">
      <c r="A289" s="445">
        <v>296</v>
      </c>
      <c r="B289" s="445"/>
      <c r="C289" s="446" t="s">
        <v>1019</v>
      </c>
      <c r="D289" s="449" t="s">
        <v>92</v>
      </c>
      <c r="E289" s="445"/>
      <c r="F289" s="447"/>
      <c r="G289" s="448"/>
      <c r="H289" s="167"/>
    </row>
    <row r="290" spans="1:8">
      <c r="A290" s="445">
        <v>297</v>
      </c>
      <c r="B290" s="445"/>
      <c r="C290" s="446" t="s">
        <v>1020</v>
      </c>
      <c r="D290" s="449" t="s">
        <v>92</v>
      </c>
      <c r="E290" s="445"/>
      <c r="F290" s="447"/>
      <c r="G290" s="448"/>
      <c r="H290" s="167"/>
    </row>
    <row r="291" spans="1:8">
      <c r="A291" s="445">
        <v>298</v>
      </c>
      <c r="B291" s="445"/>
      <c r="C291" s="446" t="s">
        <v>1021</v>
      </c>
      <c r="D291" s="449" t="s">
        <v>92</v>
      </c>
      <c r="E291" s="445"/>
      <c r="F291" s="447"/>
      <c r="G291" s="448"/>
      <c r="H291" s="167"/>
    </row>
    <row r="292" spans="1:8">
      <c r="A292" s="445">
        <v>299</v>
      </c>
      <c r="B292" s="445"/>
      <c r="C292" s="446" t="s">
        <v>1022</v>
      </c>
      <c r="D292" s="449" t="s">
        <v>92</v>
      </c>
      <c r="E292" s="445"/>
      <c r="F292" s="447"/>
      <c r="G292" s="448"/>
      <c r="H292" s="167"/>
    </row>
    <row r="293" spans="1:8" ht="14.5">
      <c r="A293" s="445">
        <v>300</v>
      </c>
      <c r="B293" s="445"/>
      <c r="C293" s="454" t="s">
        <v>1023</v>
      </c>
      <c r="D293" s="449" t="s">
        <v>1024</v>
      </c>
      <c r="E293" s="445"/>
      <c r="F293" s="447"/>
      <c r="G293" s="448"/>
      <c r="H293" s="167"/>
    </row>
    <row r="294" spans="1:8">
      <c r="A294" s="445">
        <v>301</v>
      </c>
      <c r="B294" s="445"/>
      <c r="C294" s="446" t="s">
        <v>1025</v>
      </c>
      <c r="D294" s="449" t="s">
        <v>92</v>
      </c>
      <c r="E294" s="445">
        <v>0.25</v>
      </c>
      <c r="F294" s="447"/>
      <c r="G294" s="448"/>
      <c r="H294" s="167"/>
    </row>
    <row r="295" spans="1:8">
      <c r="A295" s="445">
        <v>302</v>
      </c>
      <c r="B295" s="445"/>
      <c r="C295" s="446" t="s">
        <v>1026</v>
      </c>
      <c r="D295" s="449" t="s">
        <v>92</v>
      </c>
      <c r="E295" s="445">
        <v>0.12</v>
      </c>
      <c r="F295" s="447"/>
      <c r="G295" s="448"/>
      <c r="H295" s="167"/>
    </row>
    <row r="296" spans="1:8">
      <c r="A296" s="445">
        <v>303</v>
      </c>
      <c r="B296" s="445"/>
      <c r="C296" s="446" t="s">
        <v>1027</v>
      </c>
      <c r="D296" s="449" t="s">
        <v>92</v>
      </c>
      <c r="E296" s="445">
        <v>0.1</v>
      </c>
      <c r="F296" s="447"/>
      <c r="G296" s="448"/>
      <c r="H296" s="167"/>
    </row>
    <row r="297" spans="1:8">
      <c r="A297" s="445">
        <v>304</v>
      </c>
      <c r="B297" s="445"/>
      <c r="C297" s="446" t="s">
        <v>1028</v>
      </c>
      <c r="D297" s="449" t="s">
        <v>92</v>
      </c>
      <c r="E297" s="445">
        <v>0.01</v>
      </c>
      <c r="F297" s="447"/>
      <c r="G297" s="448"/>
      <c r="H297" s="167"/>
    </row>
    <row r="298" spans="1:8">
      <c r="A298" s="445">
        <v>305</v>
      </c>
      <c r="B298" s="445"/>
      <c r="C298" s="446" t="s">
        <v>1029</v>
      </c>
      <c r="D298" s="449" t="s">
        <v>92</v>
      </c>
      <c r="E298" s="445">
        <v>1</v>
      </c>
      <c r="F298" s="447"/>
      <c r="G298" s="448"/>
      <c r="H298" s="167"/>
    </row>
    <row r="299" spans="1:8">
      <c r="A299" s="445">
        <v>306</v>
      </c>
      <c r="B299" s="445"/>
      <c r="C299" s="446" t="s">
        <v>1030</v>
      </c>
      <c r="D299" s="449" t="s">
        <v>92</v>
      </c>
      <c r="E299" s="445">
        <v>5</v>
      </c>
      <c r="F299" s="447"/>
      <c r="G299" s="448"/>
      <c r="H299" s="167"/>
    </row>
    <row r="300" spans="1:8">
      <c r="A300" s="445">
        <v>307</v>
      </c>
      <c r="B300" s="445"/>
      <c r="C300" s="446" t="s">
        <v>1031</v>
      </c>
      <c r="D300" s="449" t="s">
        <v>1024</v>
      </c>
      <c r="E300" s="445">
        <v>0.5</v>
      </c>
      <c r="F300" s="447"/>
      <c r="G300" s="448"/>
      <c r="H300" s="167"/>
    </row>
    <row r="301" spans="1:8">
      <c r="A301" s="445">
        <v>308</v>
      </c>
      <c r="B301" s="445"/>
      <c r="C301" s="446" t="s">
        <v>1032</v>
      </c>
      <c r="D301" s="449" t="s">
        <v>92</v>
      </c>
      <c r="E301" s="445"/>
      <c r="F301" s="447"/>
      <c r="G301" s="448"/>
      <c r="H301" s="167"/>
    </row>
    <row r="302" spans="1:8">
      <c r="A302" s="445">
        <v>309</v>
      </c>
      <c r="B302" s="445"/>
      <c r="C302" s="446" t="s">
        <v>1033</v>
      </c>
      <c r="D302" s="449" t="s">
        <v>1024</v>
      </c>
      <c r="E302" s="445">
        <v>0.05</v>
      </c>
      <c r="F302" s="447"/>
      <c r="G302" s="448"/>
      <c r="H302" s="167"/>
    </row>
    <row r="303" spans="1:8">
      <c r="A303" s="445">
        <v>310</v>
      </c>
      <c r="B303" s="445"/>
      <c r="C303" s="446" t="s">
        <v>1034</v>
      </c>
      <c r="D303" s="449" t="s">
        <v>92</v>
      </c>
      <c r="E303" s="445">
        <v>0.05</v>
      </c>
      <c r="F303" s="447"/>
      <c r="G303" s="448"/>
      <c r="H303" s="167"/>
    </row>
    <row r="304" spans="1:8">
      <c r="A304" s="445">
        <v>311</v>
      </c>
      <c r="B304" s="445"/>
      <c r="C304" s="446" t="s">
        <v>1035</v>
      </c>
      <c r="D304" s="449" t="s">
        <v>92</v>
      </c>
      <c r="E304" s="445">
        <v>1</v>
      </c>
      <c r="F304" s="447"/>
      <c r="G304" s="448"/>
      <c r="H304" s="167"/>
    </row>
    <row r="305" spans="1:8">
      <c r="A305" s="445">
        <v>312</v>
      </c>
      <c r="B305" s="445"/>
      <c r="C305" s="446" t="s">
        <v>1036</v>
      </c>
      <c r="D305" s="449" t="s">
        <v>92</v>
      </c>
      <c r="E305" s="445"/>
      <c r="F305" s="447"/>
      <c r="G305" s="448"/>
      <c r="H305" s="167"/>
    </row>
    <row r="306" spans="1:8">
      <c r="A306" s="445">
        <v>313</v>
      </c>
      <c r="B306" s="445"/>
      <c r="C306" s="446" t="s">
        <v>1037</v>
      </c>
      <c r="D306" s="449" t="s">
        <v>92</v>
      </c>
      <c r="E306" s="445">
        <v>1</v>
      </c>
      <c r="F306" s="447"/>
      <c r="G306" s="448"/>
      <c r="H306" s="167"/>
    </row>
    <row r="307" spans="1:8">
      <c r="A307" s="445">
        <v>314</v>
      </c>
      <c r="B307" s="445"/>
      <c r="C307" s="446" t="s">
        <v>1038</v>
      </c>
      <c r="D307" s="449" t="s">
        <v>92</v>
      </c>
      <c r="E307" s="445">
        <v>0.1</v>
      </c>
      <c r="F307" s="447"/>
      <c r="G307" s="448"/>
      <c r="H307" s="167"/>
    </row>
    <row r="308" spans="1:8">
      <c r="A308" s="445">
        <v>315</v>
      </c>
      <c r="B308" s="445"/>
      <c r="C308" s="446" t="s">
        <v>1039</v>
      </c>
      <c r="D308" s="449" t="s">
        <v>92</v>
      </c>
      <c r="E308" s="445">
        <v>1</v>
      </c>
      <c r="F308" s="447"/>
      <c r="G308" s="448"/>
      <c r="H308" s="167"/>
    </row>
    <row r="309" spans="1:8" ht="14.5">
      <c r="A309" s="445">
        <v>316</v>
      </c>
      <c r="B309" s="445"/>
      <c r="C309" s="454" t="s">
        <v>1040</v>
      </c>
      <c r="D309" s="449" t="s">
        <v>1024</v>
      </c>
      <c r="E309" s="445">
        <v>1.034</v>
      </c>
      <c r="F309" s="447"/>
      <c r="G309" s="448"/>
      <c r="H309" s="167"/>
    </row>
    <row r="310" spans="1:8" ht="14.5">
      <c r="A310" s="445">
        <v>317</v>
      </c>
      <c r="B310" s="445"/>
      <c r="C310" s="454" t="s">
        <v>1041</v>
      </c>
      <c r="D310" s="449" t="s">
        <v>1024</v>
      </c>
      <c r="E310" s="445"/>
      <c r="F310" s="447"/>
      <c r="G310" s="448"/>
      <c r="H310" s="167"/>
    </row>
    <row r="311" spans="1:8" ht="14.5">
      <c r="A311" s="445">
        <v>318</v>
      </c>
      <c r="B311" s="445"/>
      <c r="C311" s="454" t="s">
        <v>1042</v>
      </c>
      <c r="D311" s="449" t="s">
        <v>1024</v>
      </c>
      <c r="E311" s="445"/>
      <c r="F311" s="447"/>
      <c r="G311" s="448"/>
      <c r="H311" s="167"/>
    </row>
    <row r="312" spans="1:8">
      <c r="A312" s="445">
        <v>319</v>
      </c>
      <c r="B312" s="445"/>
      <c r="C312" s="446" t="s">
        <v>1043</v>
      </c>
      <c r="D312" s="449" t="s">
        <v>92</v>
      </c>
      <c r="E312" s="445">
        <v>0.2</v>
      </c>
      <c r="F312" s="447"/>
      <c r="G312" s="448"/>
      <c r="H312" s="167"/>
    </row>
    <row r="313" spans="1:8">
      <c r="A313" s="445">
        <v>320</v>
      </c>
      <c r="B313" s="445"/>
      <c r="C313" s="446" t="s">
        <v>1044</v>
      </c>
      <c r="D313" s="449" t="s">
        <v>92</v>
      </c>
      <c r="E313" s="445">
        <v>0.2</v>
      </c>
      <c r="F313" s="447"/>
      <c r="G313" s="448"/>
      <c r="H313" s="167"/>
    </row>
    <row r="314" spans="1:8">
      <c r="A314" s="445">
        <v>321</v>
      </c>
      <c r="B314" s="445"/>
      <c r="C314" s="446" t="s">
        <v>1045</v>
      </c>
      <c r="D314" s="449" t="s">
        <v>92</v>
      </c>
      <c r="E314" s="445">
        <v>0.3</v>
      </c>
      <c r="F314" s="447"/>
      <c r="G314" s="448"/>
      <c r="H314" s="167"/>
    </row>
    <row r="315" spans="1:8">
      <c r="A315" s="445">
        <v>322</v>
      </c>
      <c r="B315" s="445"/>
      <c r="C315" s="446" t="s">
        <v>1046</v>
      </c>
      <c r="D315" s="449" t="s">
        <v>92</v>
      </c>
      <c r="E315" s="445"/>
      <c r="F315" s="447"/>
      <c r="G315" s="448"/>
      <c r="H315" s="167"/>
    </row>
    <row r="316" spans="1:8">
      <c r="A316" s="445">
        <v>323</v>
      </c>
      <c r="B316" s="445"/>
      <c r="C316" s="446" t="s">
        <v>1047</v>
      </c>
      <c r="D316" s="449" t="s">
        <v>92</v>
      </c>
      <c r="E316" s="445"/>
      <c r="F316" s="447"/>
      <c r="G316" s="448"/>
      <c r="H316" s="167"/>
    </row>
    <row r="317" spans="1:8">
      <c r="A317" s="445">
        <v>324</v>
      </c>
      <c r="B317" s="445"/>
      <c r="C317" s="446" t="s">
        <v>1048</v>
      </c>
      <c r="D317" s="449" t="s">
        <v>92</v>
      </c>
      <c r="E317" s="445"/>
      <c r="F317" s="447"/>
      <c r="G317" s="448"/>
      <c r="H317" s="167"/>
    </row>
    <row r="318" spans="1:8">
      <c r="A318" s="445">
        <v>325</v>
      </c>
      <c r="B318" s="445"/>
      <c r="C318" s="446" t="s">
        <v>1049</v>
      </c>
      <c r="D318" s="449" t="s">
        <v>92</v>
      </c>
      <c r="E318" s="445"/>
      <c r="F318" s="447"/>
      <c r="G318" s="448"/>
      <c r="H318" s="167"/>
    </row>
    <row r="319" spans="1:8" ht="42">
      <c r="A319" s="445">
        <v>326</v>
      </c>
      <c r="B319" s="445"/>
      <c r="C319" s="446" t="s">
        <v>1050</v>
      </c>
      <c r="D319" s="449" t="s">
        <v>92</v>
      </c>
      <c r="E319" s="445"/>
      <c r="F319" s="447"/>
      <c r="G319" s="448"/>
      <c r="H319" s="167"/>
    </row>
    <row r="320" spans="1:8">
      <c r="A320" s="445">
        <v>327</v>
      </c>
      <c r="B320" s="445"/>
      <c r="C320" s="446" t="s">
        <v>1051</v>
      </c>
      <c r="D320" s="449" t="s">
        <v>92</v>
      </c>
      <c r="E320" s="445">
        <v>3</v>
      </c>
      <c r="F320" s="447"/>
      <c r="G320" s="448"/>
      <c r="H320" s="167"/>
    </row>
    <row r="321" spans="1:8">
      <c r="A321" s="445">
        <v>328</v>
      </c>
      <c r="B321" s="445"/>
      <c r="C321" s="446" t="s">
        <v>1052</v>
      </c>
      <c r="D321" s="449" t="s">
        <v>92</v>
      </c>
      <c r="E321" s="445"/>
      <c r="F321" s="447"/>
      <c r="G321" s="448"/>
      <c r="H321" s="167"/>
    </row>
    <row r="322" spans="1:8">
      <c r="A322" s="445">
        <v>329</v>
      </c>
      <c r="B322" s="445"/>
      <c r="C322" s="446" t="s">
        <v>1053</v>
      </c>
      <c r="D322" s="449" t="s">
        <v>92</v>
      </c>
      <c r="E322" s="445"/>
      <c r="F322" s="447"/>
      <c r="G322" s="448"/>
      <c r="H322" s="167"/>
    </row>
    <row r="323" spans="1:8">
      <c r="A323" s="445">
        <v>330</v>
      </c>
      <c r="B323" s="445"/>
      <c r="C323" s="446" t="s">
        <v>1054</v>
      </c>
      <c r="D323" s="449" t="s">
        <v>92</v>
      </c>
      <c r="E323" s="445"/>
      <c r="F323" s="447"/>
      <c r="G323" s="448"/>
      <c r="H323" s="167"/>
    </row>
    <row r="324" spans="1:8" ht="14.5">
      <c r="A324" s="445">
        <v>331</v>
      </c>
      <c r="B324" s="445"/>
      <c r="C324" s="454" t="s">
        <v>1055</v>
      </c>
      <c r="D324" s="449" t="s">
        <v>92</v>
      </c>
      <c r="E324" s="445"/>
      <c r="F324" s="447"/>
      <c r="G324" s="448"/>
      <c r="H324" s="167"/>
    </row>
    <row r="325" spans="1:8">
      <c r="A325" s="445">
        <v>332</v>
      </c>
      <c r="B325" s="445"/>
      <c r="C325" s="446" t="s">
        <v>1056</v>
      </c>
      <c r="D325" s="449" t="s">
        <v>92</v>
      </c>
      <c r="E325" s="445"/>
      <c r="F325" s="447"/>
      <c r="G325" s="448"/>
      <c r="H325" s="167"/>
    </row>
    <row r="326" spans="1:8">
      <c r="A326" s="445">
        <v>333</v>
      </c>
      <c r="B326" s="445"/>
      <c r="C326" s="446" t="s">
        <v>1057</v>
      </c>
      <c r="D326" s="449" t="s">
        <v>92</v>
      </c>
      <c r="E326" s="445">
        <v>0.1</v>
      </c>
      <c r="F326" s="447"/>
      <c r="G326" s="448"/>
      <c r="H326" s="167"/>
    </row>
    <row r="327" spans="1:8">
      <c r="A327" s="445">
        <v>334</v>
      </c>
      <c r="B327" s="445"/>
      <c r="C327" s="446" t="s">
        <v>1058</v>
      </c>
      <c r="D327" s="449" t="s">
        <v>92</v>
      </c>
      <c r="E327" s="445">
        <v>1</v>
      </c>
      <c r="F327" s="447"/>
      <c r="G327" s="448"/>
      <c r="H327" s="167"/>
    </row>
    <row r="328" spans="1:8">
      <c r="A328" s="445">
        <v>335</v>
      </c>
      <c r="B328" s="445"/>
      <c r="C328" s="445" t="s">
        <v>1059</v>
      </c>
      <c r="D328" s="449" t="s">
        <v>92</v>
      </c>
      <c r="E328" s="445">
        <v>199</v>
      </c>
      <c r="F328" s="447"/>
      <c r="G328" s="448"/>
      <c r="H328" s="167"/>
    </row>
    <row r="329" spans="1:8">
      <c r="A329" s="445">
        <v>336</v>
      </c>
      <c r="B329" s="445"/>
      <c r="C329" s="445" t="s">
        <v>1060</v>
      </c>
      <c r="D329" s="449" t="s">
        <v>92</v>
      </c>
      <c r="E329" s="445">
        <v>2.8</v>
      </c>
      <c r="F329" s="447"/>
      <c r="G329" s="448"/>
      <c r="H329" s="167"/>
    </row>
    <row r="330" spans="1:8">
      <c r="A330" s="445">
        <v>337</v>
      </c>
      <c r="B330" s="445"/>
      <c r="C330" s="446" t="s">
        <v>1061</v>
      </c>
      <c r="D330" s="445" t="s">
        <v>92</v>
      </c>
      <c r="E330" s="445">
        <v>57</v>
      </c>
      <c r="F330" s="447"/>
      <c r="G330" s="448"/>
      <c r="H330" s="166"/>
    </row>
    <row r="331" spans="1:8" ht="42">
      <c r="A331" s="445">
        <v>340</v>
      </c>
      <c r="B331" s="445" t="s">
        <v>815</v>
      </c>
      <c r="C331" s="446" t="s">
        <v>1062</v>
      </c>
      <c r="D331" s="445" t="s">
        <v>92</v>
      </c>
      <c r="E331" s="445">
        <f>24+52</f>
        <v>76</v>
      </c>
      <c r="F331" s="448"/>
      <c r="G331" s="448"/>
      <c r="H331" s="166"/>
    </row>
    <row r="332" spans="1:8">
      <c r="A332" s="445">
        <v>341</v>
      </c>
      <c r="B332" s="445" t="s">
        <v>731</v>
      </c>
      <c r="C332" s="445" t="s">
        <v>1063</v>
      </c>
      <c r="D332" s="449" t="s">
        <v>92</v>
      </c>
      <c r="E332" s="445">
        <v>0.24</v>
      </c>
      <c r="F332" s="447"/>
      <c r="G332" s="448"/>
      <c r="H332" s="166"/>
    </row>
    <row r="333" spans="1:8" ht="43.9" customHeight="1">
      <c r="A333" s="445">
        <v>342</v>
      </c>
      <c r="B333" s="445" t="s">
        <v>1064</v>
      </c>
      <c r="C333" s="455" t="s">
        <v>1065</v>
      </c>
      <c r="D333" s="449" t="s">
        <v>92</v>
      </c>
      <c r="E333" s="445">
        <v>0.5</v>
      </c>
      <c r="F333" s="447"/>
      <c r="G333" s="448"/>
      <c r="H333" s="167"/>
    </row>
    <row r="334" spans="1:8" ht="14.5">
      <c r="A334" s="445">
        <v>343</v>
      </c>
      <c r="B334" s="445" t="s">
        <v>1064</v>
      </c>
      <c r="C334" s="455" t="s">
        <v>1066</v>
      </c>
      <c r="D334" s="449" t="s">
        <v>92</v>
      </c>
      <c r="E334" s="445">
        <v>0.5</v>
      </c>
      <c r="F334" s="447"/>
      <c r="G334" s="448"/>
      <c r="H334" s="167"/>
    </row>
    <row r="335" spans="1:8" ht="14.5">
      <c r="A335" s="445">
        <v>344</v>
      </c>
      <c r="B335" s="445" t="s">
        <v>1064</v>
      </c>
      <c r="C335" s="455" t="s">
        <v>1067</v>
      </c>
      <c r="D335" s="449" t="s">
        <v>92</v>
      </c>
      <c r="E335" s="445">
        <v>0.5</v>
      </c>
      <c r="F335" s="447"/>
      <c r="G335" s="448"/>
      <c r="H335" s="167"/>
    </row>
    <row r="336" spans="1:8">
      <c r="A336" s="445">
        <v>345</v>
      </c>
      <c r="B336" s="445"/>
      <c r="C336" s="445" t="s">
        <v>1068</v>
      </c>
      <c r="D336" s="445" t="s">
        <v>92</v>
      </c>
      <c r="E336" s="445">
        <v>0</v>
      </c>
      <c r="F336" s="448"/>
      <c r="G336" s="448"/>
      <c r="H336" s="168"/>
    </row>
    <row r="337" spans="1:8" ht="14.5">
      <c r="A337" s="445">
        <v>346</v>
      </c>
      <c r="B337" s="445" t="s">
        <v>1064</v>
      </c>
      <c r="C337" s="455" t="s">
        <v>1069</v>
      </c>
      <c r="D337" s="449" t="s">
        <v>92</v>
      </c>
      <c r="E337" s="445">
        <v>0.5</v>
      </c>
      <c r="F337" s="447"/>
      <c r="G337" s="448"/>
      <c r="H337" s="167"/>
    </row>
    <row r="338" spans="1:8">
      <c r="A338" s="445">
        <v>347</v>
      </c>
      <c r="B338" s="445"/>
      <c r="C338" s="445" t="s">
        <v>1070</v>
      </c>
      <c r="D338" s="445" t="s">
        <v>92</v>
      </c>
      <c r="E338" s="445">
        <v>0</v>
      </c>
      <c r="F338" s="448"/>
      <c r="G338" s="448"/>
      <c r="H338" s="168"/>
    </row>
    <row r="339" spans="1:8" ht="14.5">
      <c r="A339" s="445">
        <v>348</v>
      </c>
      <c r="B339" s="445" t="s">
        <v>1064</v>
      </c>
      <c r="C339" s="455" t="s">
        <v>930</v>
      </c>
      <c r="D339" s="449" t="s">
        <v>92</v>
      </c>
      <c r="E339" s="445">
        <v>0.5</v>
      </c>
      <c r="F339" s="447"/>
      <c r="G339" s="448"/>
      <c r="H339" s="167"/>
    </row>
    <row r="340" spans="1:8" ht="14.5">
      <c r="A340" s="445">
        <v>349</v>
      </c>
      <c r="B340" s="445" t="s">
        <v>1064</v>
      </c>
      <c r="C340" s="455" t="s">
        <v>931</v>
      </c>
      <c r="D340" s="449" t="s">
        <v>92</v>
      </c>
      <c r="E340" s="445">
        <v>0.5</v>
      </c>
      <c r="F340" s="447"/>
      <c r="G340" s="448"/>
      <c r="H340" s="167"/>
    </row>
    <row r="341" spans="1:8" ht="14.5">
      <c r="A341" s="445">
        <v>350</v>
      </c>
      <c r="B341" s="445" t="s">
        <v>1064</v>
      </c>
      <c r="C341" s="455" t="s">
        <v>1071</v>
      </c>
      <c r="D341" s="449" t="s">
        <v>92</v>
      </c>
      <c r="E341" s="445">
        <v>0.5</v>
      </c>
      <c r="F341" s="447"/>
      <c r="G341" s="448"/>
      <c r="H341" s="167"/>
    </row>
    <row r="342" spans="1:8" ht="30" customHeight="1">
      <c r="A342" s="445">
        <v>351</v>
      </c>
      <c r="B342" s="445" t="s">
        <v>1064</v>
      </c>
      <c r="C342" s="455" t="s">
        <v>1072</v>
      </c>
      <c r="D342" s="449" t="s">
        <v>92</v>
      </c>
      <c r="E342" s="445">
        <v>0.5</v>
      </c>
      <c r="F342" s="447"/>
      <c r="G342" s="448"/>
      <c r="H342" s="167"/>
    </row>
    <row r="343" spans="1:8">
      <c r="A343" s="445">
        <v>352</v>
      </c>
      <c r="B343" s="445" t="s">
        <v>1064</v>
      </c>
      <c r="C343" s="445" t="s">
        <v>1073</v>
      </c>
      <c r="D343" s="449" t="s">
        <v>92</v>
      </c>
      <c r="E343" s="445">
        <v>0.5</v>
      </c>
      <c r="F343" s="447"/>
      <c r="G343" s="448"/>
      <c r="H343" s="167"/>
    </row>
    <row r="344" spans="1:8">
      <c r="A344" s="445">
        <v>353</v>
      </c>
      <c r="B344" s="445" t="s">
        <v>1064</v>
      </c>
      <c r="C344" s="445" t="s">
        <v>1074</v>
      </c>
      <c r="D344" s="449" t="s">
        <v>92</v>
      </c>
      <c r="E344" s="445">
        <v>0.2</v>
      </c>
      <c r="F344" s="447"/>
      <c r="G344" s="448"/>
      <c r="H344" s="167"/>
    </row>
    <row r="345" spans="1:8" ht="31.9" customHeight="1">
      <c r="A345" s="445">
        <v>354</v>
      </c>
      <c r="B345" s="445" t="s">
        <v>1064</v>
      </c>
      <c r="C345" s="445" t="s">
        <v>1075</v>
      </c>
      <c r="D345" s="449" t="s">
        <v>92</v>
      </c>
      <c r="E345" s="445">
        <v>0.2</v>
      </c>
      <c r="F345" s="447"/>
      <c r="G345" s="448"/>
      <c r="H345" s="167"/>
    </row>
    <row r="346" spans="1:8">
      <c r="A346" s="445">
        <v>355</v>
      </c>
      <c r="B346" s="445" t="s">
        <v>1064</v>
      </c>
      <c r="C346" s="445" t="s">
        <v>1076</v>
      </c>
      <c r="D346" s="449" t="s">
        <v>92</v>
      </c>
      <c r="E346" s="445">
        <v>0.2</v>
      </c>
      <c r="F346" s="447"/>
      <c r="G346" s="448"/>
      <c r="H346" s="167"/>
    </row>
    <row r="347" spans="1:8">
      <c r="A347" s="445">
        <v>356</v>
      </c>
      <c r="B347" s="445" t="s">
        <v>1064</v>
      </c>
      <c r="C347" s="445" t="s">
        <v>1077</v>
      </c>
      <c r="D347" s="449" t="s">
        <v>92</v>
      </c>
      <c r="E347" s="445">
        <v>0.2</v>
      </c>
      <c r="F347" s="447"/>
      <c r="G347" s="448"/>
      <c r="H347" s="167"/>
    </row>
    <row r="348" spans="1:8">
      <c r="A348" s="445">
        <v>357</v>
      </c>
      <c r="B348" s="445" t="s">
        <v>1064</v>
      </c>
      <c r="C348" s="445" t="s">
        <v>1078</v>
      </c>
      <c r="D348" s="449" t="s">
        <v>92</v>
      </c>
      <c r="E348" s="445">
        <v>0.2</v>
      </c>
      <c r="F348" s="447"/>
      <c r="G348" s="448"/>
      <c r="H348" s="167"/>
    </row>
    <row r="349" spans="1:8">
      <c r="A349" s="445">
        <v>358</v>
      </c>
      <c r="B349" s="445" t="s">
        <v>791</v>
      </c>
      <c r="C349" s="445" t="s">
        <v>1079</v>
      </c>
      <c r="D349" s="449" t="s">
        <v>92</v>
      </c>
      <c r="E349" s="445">
        <v>0.01</v>
      </c>
      <c r="F349" s="447"/>
      <c r="G349" s="448"/>
      <c r="H349" s="166"/>
    </row>
    <row r="350" spans="1:8">
      <c r="A350" s="445">
        <v>359</v>
      </c>
      <c r="B350" s="445" t="s">
        <v>791</v>
      </c>
      <c r="C350" s="449" t="s">
        <v>1080</v>
      </c>
      <c r="D350" s="449" t="s">
        <v>92</v>
      </c>
      <c r="E350" s="445">
        <v>1.01</v>
      </c>
      <c r="F350" s="447"/>
      <c r="G350" s="448"/>
      <c r="H350" s="166"/>
    </row>
    <row r="351" spans="1:8">
      <c r="A351" s="445">
        <v>360</v>
      </c>
      <c r="B351" s="445" t="s">
        <v>791</v>
      </c>
      <c r="C351" s="449" t="s">
        <v>1081</v>
      </c>
      <c r="D351" s="449" t="s">
        <v>92</v>
      </c>
      <c r="E351" s="445">
        <v>0.01</v>
      </c>
      <c r="F351" s="447"/>
      <c r="G351" s="448"/>
      <c r="H351" s="166"/>
    </row>
    <row r="352" spans="1:8">
      <c r="A352" s="445">
        <v>361</v>
      </c>
      <c r="B352" s="445" t="s">
        <v>715</v>
      </c>
      <c r="C352" s="445" t="s">
        <v>1082</v>
      </c>
      <c r="D352" s="445" t="s">
        <v>92</v>
      </c>
      <c r="E352" s="445">
        <v>38.5</v>
      </c>
      <c r="F352" s="447"/>
      <c r="G352" s="448"/>
      <c r="H352" s="166"/>
    </row>
    <row r="353" spans="1:8">
      <c r="A353" s="445">
        <v>381</v>
      </c>
      <c r="B353" s="445" t="s">
        <v>791</v>
      </c>
      <c r="C353" s="446" t="s">
        <v>1083</v>
      </c>
      <c r="D353" s="449" t="s">
        <v>92</v>
      </c>
      <c r="E353" s="445">
        <v>3</v>
      </c>
      <c r="F353" s="447"/>
      <c r="G353" s="448"/>
      <c r="H353" s="167"/>
    </row>
    <row r="354" spans="1:8">
      <c r="A354" s="445">
        <v>382</v>
      </c>
      <c r="B354" s="445" t="s">
        <v>1084</v>
      </c>
      <c r="C354" s="456" t="s">
        <v>1085</v>
      </c>
      <c r="D354" s="449" t="s">
        <v>92</v>
      </c>
      <c r="E354" s="445">
        <v>0.2</v>
      </c>
      <c r="F354" s="447"/>
      <c r="G354" s="448"/>
      <c r="H354" s="167"/>
    </row>
    <row r="355" spans="1:8">
      <c r="A355" s="445">
        <v>383</v>
      </c>
      <c r="B355" s="445" t="s">
        <v>1084</v>
      </c>
      <c r="C355" s="456" t="s">
        <v>1086</v>
      </c>
      <c r="D355" s="449" t="s">
        <v>92</v>
      </c>
      <c r="E355" s="445">
        <v>5</v>
      </c>
      <c r="F355" s="447"/>
      <c r="G355" s="448"/>
      <c r="H355" s="167"/>
    </row>
    <row r="356" spans="1:8">
      <c r="A356" s="445">
        <v>384</v>
      </c>
      <c r="B356" s="445" t="s">
        <v>1084</v>
      </c>
      <c r="C356" s="456" t="s">
        <v>1087</v>
      </c>
      <c r="D356" s="449" t="s">
        <v>92</v>
      </c>
      <c r="E356" s="445">
        <v>0.01</v>
      </c>
      <c r="F356" s="447"/>
      <c r="G356" s="448"/>
      <c r="H356" s="167"/>
    </row>
    <row r="357" spans="1:8">
      <c r="A357" s="445">
        <v>385</v>
      </c>
      <c r="B357" s="445" t="s">
        <v>1084</v>
      </c>
      <c r="C357" s="456" t="s">
        <v>1088</v>
      </c>
      <c r="D357" s="449" t="s">
        <v>92</v>
      </c>
      <c r="E357" s="445">
        <v>0.01</v>
      </c>
      <c r="F357" s="447"/>
      <c r="G357" s="448"/>
      <c r="H357" s="167"/>
    </row>
    <row r="358" spans="1:8">
      <c r="A358" s="445">
        <v>386</v>
      </c>
      <c r="B358" s="445" t="s">
        <v>1084</v>
      </c>
      <c r="C358" s="456" t="s">
        <v>1089</v>
      </c>
      <c r="D358" s="449" t="s">
        <v>92</v>
      </c>
      <c r="E358" s="445">
        <v>2</v>
      </c>
      <c r="F358" s="447"/>
      <c r="G358" s="448"/>
      <c r="H358" s="167"/>
    </row>
    <row r="359" spans="1:8">
      <c r="A359" s="445">
        <v>387</v>
      </c>
      <c r="B359" s="445" t="s">
        <v>1084</v>
      </c>
      <c r="C359" s="456" t="s">
        <v>1090</v>
      </c>
      <c r="D359" s="449" t="s">
        <v>92</v>
      </c>
      <c r="E359" s="445">
        <v>0.5</v>
      </c>
      <c r="F359" s="447"/>
      <c r="G359" s="448"/>
      <c r="H359" s="167"/>
    </row>
    <row r="360" spans="1:8">
      <c r="A360" s="445">
        <v>388</v>
      </c>
      <c r="B360" s="445" t="s">
        <v>1084</v>
      </c>
      <c r="C360" s="456" t="s">
        <v>1091</v>
      </c>
      <c r="D360" s="449" t="s">
        <v>92</v>
      </c>
      <c r="E360" s="445">
        <v>0.5</v>
      </c>
      <c r="F360" s="447"/>
      <c r="G360" s="448"/>
      <c r="H360" s="167"/>
    </row>
    <row r="361" spans="1:8">
      <c r="A361" s="445">
        <v>389</v>
      </c>
      <c r="B361" s="445" t="s">
        <v>1084</v>
      </c>
      <c r="C361" s="456" t="s">
        <v>1092</v>
      </c>
      <c r="D361" s="449" t="s">
        <v>92</v>
      </c>
      <c r="E361" s="445">
        <v>0.5</v>
      </c>
      <c r="F361" s="447"/>
      <c r="G361" s="448"/>
      <c r="H361" s="167"/>
    </row>
    <row r="362" spans="1:8">
      <c r="A362" s="445">
        <v>390</v>
      </c>
      <c r="B362" s="445" t="s">
        <v>1084</v>
      </c>
      <c r="C362" s="456" t="s">
        <v>1093</v>
      </c>
      <c r="D362" s="449" t="s">
        <v>92</v>
      </c>
      <c r="E362" s="445">
        <v>0.5</v>
      </c>
      <c r="F362" s="447"/>
      <c r="G362" s="448"/>
      <c r="H362" s="167"/>
    </row>
    <row r="363" spans="1:8">
      <c r="A363" s="445">
        <v>391</v>
      </c>
      <c r="B363" s="445" t="s">
        <v>1084</v>
      </c>
      <c r="C363" s="456" t="s">
        <v>1094</v>
      </c>
      <c r="D363" s="449" t="s">
        <v>92</v>
      </c>
      <c r="E363" s="445">
        <v>0.5</v>
      </c>
      <c r="F363" s="447"/>
      <c r="G363" s="448"/>
      <c r="H363" s="167"/>
    </row>
    <row r="364" spans="1:8" ht="14.5">
      <c r="A364" s="445">
        <v>392</v>
      </c>
      <c r="B364" s="445" t="s">
        <v>1064</v>
      </c>
      <c r="C364" s="455" t="s">
        <v>1095</v>
      </c>
      <c r="D364" s="449" t="s">
        <v>92</v>
      </c>
      <c r="E364" s="445">
        <v>0.5</v>
      </c>
      <c r="F364" s="447"/>
      <c r="G364" s="448"/>
      <c r="H364" s="166"/>
    </row>
    <row r="365" spans="1:8" ht="14.5">
      <c r="A365" s="445">
        <v>393</v>
      </c>
      <c r="B365" s="445" t="s">
        <v>1064</v>
      </c>
      <c r="C365" s="455" t="s">
        <v>1096</v>
      </c>
      <c r="D365" s="449" t="s">
        <v>92</v>
      </c>
      <c r="E365" s="445">
        <v>0.5</v>
      </c>
      <c r="F365" s="447"/>
      <c r="G365" s="448"/>
      <c r="H365" s="166"/>
    </row>
    <row r="366" spans="1:8" ht="14.5">
      <c r="A366" s="445">
        <v>394</v>
      </c>
      <c r="B366" s="445" t="s">
        <v>1064</v>
      </c>
      <c r="C366" s="455" t="s">
        <v>1097</v>
      </c>
      <c r="D366" s="449" t="s">
        <v>92</v>
      </c>
      <c r="E366" s="445">
        <v>0.5</v>
      </c>
      <c r="F366" s="447"/>
      <c r="G366" s="448"/>
      <c r="H366" s="166"/>
    </row>
    <row r="367" spans="1:8" ht="14.5">
      <c r="A367" s="445">
        <v>395</v>
      </c>
      <c r="B367" s="445" t="s">
        <v>1064</v>
      </c>
      <c r="C367" s="455" t="s">
        <v>1098</v>
      </c>
      <c r="D367" s="449" t="s">
        <v>92</v>
      </c>
      <c r="E367" s="445">
        <v>0.5</v>
      </c>
      <c r="F367" s="447"/>
      <c r="G367" s="448"/>
      <c r="H367" s="166"/>
    </row>
    <row r="368" spans="1:8" ht="14.5">
      <c r="A368" s="445">
        <v>397</v>
      </c>
      <c r="B368" s="445" t="s">
        <v>1084</v>
      </c>
      <c r="C368" s="457" t="s">
        <v>1099</v>
      </c>
      <c r="D368" s="449" t="s">
        <v>92</v>
      </c>
      <c r="E368" s="445">
        <v>0.5</v>
      </c>
      <c r="F368" s="448"/>
      <c r="G368" s="448"/>
      <c r="H368" s="168"/>
    </row>
    <row r="369" spans="1:8">
      <c r="A369" s="445">
        <v>398</v>
      </c>
      <c r="B369" s="445" t="s">
        <v>731</v>
      </c>
      <c r="C369" s="445" t="s">
        <v>1100</v>
      </c>
      <c r="D369" s="449" t="s">
        <v>92</v>
      </c>
      <c r="E369" s="445">
        <v>0.24</v>
      </c>
      <c r="F369" s="448"/>
      <c r="G369" s="448"/>
      <c r="H369" s="166"/>
    </row>
    <row r="370" spans="1:8">
      <c r="A370" s="445">
        <v>400</v>
      </c>
      <c r="B370" s="445"/>
      <c r="C370" s="445" t="s">
        <v>1101</v>
      </c>
      <c r="D370" s="449" t="s">
        <v>92</v>
      </c>
      <c r="E370" s="445">
        <v>0.1</v>
      </c>
      <c r="F370" s="448"/>
      <c r="G370" s="448"/>
      <c r="H370" s="166"/>
    </row>
    <row r="371" spans="1:8">
      <c r="A371" s="445">
        <v>401</v>
      </c>
      <c r="B371" s="445"/>
      <c r="C371" s="445" t="s">
        <v>1102</v>
      </c>
      <c r="D371" s="449" t="s">
        <v>92</v>
      </c>
      <c r="E371" s="445">
        <v>0.25</v>
      </c>
      <c r="F371" s="448"/>
      <c r="G371" s="448"/>
      <c r="H371" s="166"/>
    </row>
    <row r="372" spans="1:8">
      <c r="A372" s="445">
        <v>402</v>
      </c>
      <c r="B372" s="445" t="s">
        <v>717</v>
      </c>
      <c r="C372" s="445" t="s">
        <v>1103</v>
      </c>
      <c r="D372" s="445" t="s">
        <v>536</v>
      </c>
      <c r="E372" s="445">
        <v>1.0309999999999999</v>
      </c>
      <c r="F372" s="448"/>
      <c r="G372" s="448"/>
      <c r="H372" s="167"/>
    </row>
    <row r="373" spans="1:8">
      <c r="A373" s="445">
        <v>403</v>
      </c>
      <c r="B373" s="445" t="s">
        <v>717</v>
      </c>
      <c r="C373" s="445" t="s">
        <v>1104</v>
      </c>
      <c r="D373" s="445" t="s">
        <v>536</v>
      </c>
      <c r="E373" s="445">
        <v>0.192</v>
      </c>
      <c r="F373" s="448"/>
      <c r="G373" s="448"/>
      <c r="H373" s="166"/>
    </row>
    <row r="374" spans="1:8">
      <c r="A374" s="445">
        <v>404</v>
      </c>
      <c r="B374" s="445" t="s">
        <v>717</v>
      </c>
      <c r="C374" s="445" t="s">
        <v>1105</v>
      </c>
      <c r="D374" s="445" t="s">
        <v>536</v>
      </c>
      <c r="E374" s="445">
        <v>2.415</v>
      </c>
      <c r="F374" s="448"/>
      <c r="G374" s="448"/>
      <c r="H374" s="168"/>
    </row>
    <row r="375" spans="1:8">
      <c r="A375" s="445">
        <v>405</v>
      </c>
      <c r="B375" s="445"/>
      <c r="C375" s="445" t="s">
        <v>1106</v>
      </c>
      <c r="D375" s="445" t="s">
        <v>536</v>
      </c>
      <c r="E375" s="445">
        <f>2.07/3</f>
        <v>0.69</v>
      </c>
      <c r="F375" s="448"/>
      <c r="G375" s="448"/>
      <c r="H375" s="166"/>
    </row>
    <row r="376" spans="1:8">
      <c r="A376" s="445">
        <v>406</v>
      </c>
      <c r="B376" s="445"/>
      <c r="C376" s="445" t="s">
        <v>1107</v>
      </c>
      <c r="D376" s="445" t="s">
        <v>92</v>
      </c>
      <c r="E376" s="445">
        <v>5.8000000000000003E-2</v>
      </c>
      <c r="F376" s="448"/>
      <c r="G376" s="448"/>
      <c r="H376" s="166"/>
    </row>
    <row r="377" spans="1:8">
      <c r="A377" s="445">
        <v>407</v>
      </c>
      <c r="B377" s="445"/>
      <c r="C377" s="445" t="s">
        <v>1108</v>
      </c>
      <c r="D377" s="445" t="s">
        <v>92</v>
      </c>
      <c r="E377" s="445">
        <v>5.8000000000000003E-2</v>
      </c>
      <c r="F377" s="448"/>
      <c r="G377" s="448"/>
      <c r="H377" s="166"/>
    </row>
    <row r="378" spans="1:8" ht="28">
      <c r="A378" s="445">
        <v>408</v>
      </c>
      <c r="B378" s="445" t="s">
        <v>715</v>
      </c>
      <c r="C378" s="446" t="s">
        <v>1109</v>
      </c>
      <c r="D378" s="445" t="s">
        <v>92</v>
      </c>
      <c r="E378" s="445">
        <v>7.9</v>
      </c>
      <c r="F378" s="448"/>
      <c r="G378" s="448"/>
      <c r="H378" s="166"/>
    </row>
    <row r="379" spans="1:8" ht="28">
      <c r="A379" s="445">
        <v>409</v>
      </c>
      <c r="B379" s="445" t="s">
        <v>715</v>
      </c>
      <c r="C379" s="446" t="s">
        <v>1110</v>
      </c>
      <c r="D379" s="445" t="s">
        <v>92</v>
      </c>
      <c r="E379" s="445">
        <v>19</v>
      </c>
      <c r="F379" s="448"/>
      <c r="G379" s="448"/>
      <c r="H379" s="166"/>
    </row>
    <row r="380" spans="1:8" ht="28">
      <c r="A380" s="445">
        <v>410</v>
      </c>
      <c r="B380" s="445"/>
      <c r="C380" s="446" t="s">
        <v>1111</v>
      </c>
      <c r="D380" s="445" t="s">
        <v>92</v>
      </c>
      <c r="E380" s="445">
        <v>30</v>
      </c>
      <c r="F380" s="448"/>
      <c r="G380" s="448"/>
      <c r="H380" s="166"/>
    </row>
    <row r="381" spans="1:8">
      <c r="A381" s="445">
        <v>411</v>
      </c>
      <c r="B381" s="445"/>
      <c r="C381" s="445" t="s">
        <v>1112</v>
      </c>
      <c r="D381" s="445" t="s">
        <v>92</v>
      </c>
      <c r="E381" s="445">
        <v>0.03</v>
      </c>
      <c r="F381" s="448"/>
      <c r="G381" s="448"/>
      <c r="H381" s="166"/>
    </row>
    <row r="382" spans="1:8" ht="28">
      <c r="A382" s="445">
        <v>412</v>
      </c>
      <c r="B382" s="445"/>
      <c r="C382" s="446" t="s">
        <v>1113</v>
      </c>
      <c r="D382" s="445" t="s">
        <v>92</v>
      </c>
      <c r="E382" s="445">
        <v>80</v>
      </c>
      <c r="F382" s="448"/>
      <c r="G382" s="448"/>
      <c r="H382" s="166"/>
    </row>
    <row r="383" spans="1:8">
      <c r="A383" s="445">
        <v>413</v>
      </c>
      <c r="B383" s="445" t="s">
        <v>789</v>
      </c>
      <c r="C383" s="445" t="s">
        <v>1114</v>
      </c>
      <c r="D383" s="445" t="s">
        <v>278</v>
      </c>
      <c r="E383" s="445">
        <v>0.1</v>
      </c>
      <c r="F383" s="448"/>
      <c r="G383" s="448"/>
      <c r="H383" s="166"/>
    </row>
    <row r="384" spans="1:8">
      <c r="A384" s="445">
        <v>414</v>
      </c>
      <c r="B384" s="445" t="s">
        <v>717</v>
      </c>
      <c r="C384" s="445" t="s">
        <v>1115</v>
      </c>
      <c r="D384" s="445" t="s">
        <v>536</v>
      </c>
      <c r="E384" s="445">
        <v>0.57999999999999996</v>
      </c>
      <c r="F384" s="448"/>
      <c r="G384" s="448"/>
      <c r="H384" s="166"/>
    </row>
    <row r="385" spans="1:8" ht="14.5">
      <c r="A385" s="445">
        <v>415</v>
      </c>
      <c r="B385" s="445" t="s">
        <v>1064</v>
      </c>
      <c r="C385" s="455" t="s">
        <v>1116</v>
      </c>
      <c r="D385" s="449" t="s">
        <v>92</v>
      </c>
      <c r="E385" s="445">
        <v>0.5</v>
      </c>
      <c r="F385" s="448"/>
      <c r="G385" s="448"/>
      <c r="H385" s="166"/>
    </row>
    <row r="386" spans="1:8" ht="14.5">
      <c r="A386" s="445">
        <v>416</v>
      </c>
      <c r="B386" s="445" t="s">
        <v>1064</v>
      </c>
      <c r="C386" s="457" t="s">
        <v>1117</v>
      </c>
      <c r="D386" s="449" t="s">
        <v>92</v>
      </c>
      <c r="E386" s="445">
        <v>18</v>
      </c>
      <c r="F386" s="448"/>
      <c r="G386" s="448"/>
      <c r="H386" s="166"/>
    </row>
    <row r="387" spans="1:8" ht="14.5">
      <c r="A387" s="445">
        <v>417</v>
      </c>
      <c r="B387" s="445" t="s">
        <v>1064</v>
      </c>
      <c r="C387" s="457" t="s">
        <v>1118</v>
      </c>
      <c r="D387" s="449" t="s">
        <v>92</v>
      </c>
      <c r="E387" s="445">
        <v>0.5</v>
      </c>
      <c r="F387" s="448"/>
      <c r="G387" s="448"/>
      <c r="H387" s="166"/>
    </row>
    <row r="388" spans="1:8" ht="14.5">
      <c r="A388" s="445">
        <v>418</v>
      </c>
      <c r="B388" s="445" t="s">
        <v>1064</v>
      </c>
      <c r="C388" s="457" t="s">
        <v>1119</v>
      </c>
      <c r="D388" s="449" t="s">
        <v>92</v>
      </c>
      <c r="E388" s="445">
        <v>0.4</v>
      </c>
      <c r="F388" s="448"/>
      <c r="G388" s="448"/>
      <c r="H388" s="166"/>
    </row>
    <row r="389" spans="1:8" ht="14.5">
      <c r="A389" s="445">
        <v>419</v>
      </c>
      <c r="B389" s="445" t="s">
        <v>1064</v>
      </c>
      <c r="C389" s="457" t="s">
        <v>1120</v>
      </c>
      <c r="D389" s="449" t="s">
        <v>92</v>
      </c>
      <c r="E389" s="445">
        <v>1.1000000000000001</v>
      </c>
      <c r="F389" s="448"/>
      <c r="G389" s="448"/>
      <c r="H389" s="166"/>
    </row>
    <row r="390" spans="1:8" ht="14.5">
      <c r="A390" s="445">
        <v>420</v>
      </c>
      <c r="B390" s="445" t="s">
        <v>1064</v>
      </c>
      <c r="C390" s="457" t="s">
        <v>1121</v>
      </c>
      <c r="D390" s="449" t="s">
        <v>92</v>
      </c>
      <c r="E390" s="445">
        <v>2</v>
      </c>
      <c r="F390" s="448"/>
      <c r="G390" s="448"/>
      <c r="H390" s="166"/>
    </row>
    <row r="391" spans="1:8" ht="14.5">
      <c r="A391" s="445">
        <v>421</v>
      </c>
      <c r="B391" s="445" t="s">
        <v>1064</v>
      </c>
      <c r="C391" s="457" t="s">
        <v>1122</v>
      </c>
      <c r="D391" s="449" t="s">
        <v>92</v>
      </c>
      <c r="E391" s="445">
        <v>1.3</v>
      </c>
      <c r="F391" s="448"/>
      <c r="G391" s="448"/>
      <c r="H391" s="166"/>
    </row>
    <row r="392" spans="1:8" ht="14.5">
      <c r="A392" s="445">
        <v>422</v>
      </c>
      <c r="B392" s="445" t="s">
        <v>1064</v>
      </c>
      <c r="C392" s="457" t="s">
        <v>1123</v>
      </c>
      <c r="D392" s="449" t="s">
        <v>92</v>
      </c>
      <c r="E392" s="445">
        <v>0.2</v>
      </c>
      <c r="F392" s="448"/>
      <c r="G392" s="448"/>
      <c r="H392" s="166"/>
    </row>
    <row r="393" spans="1:8" ht="14.5">
      <c r="A393" s="445">
        <v>423</v>
      </c>
      <c r="B393" s="445" t="s">
        <v>1064</v>
      </c>
      <c r="C393" s="457" t="s">
        <v>1124</v>
      </c>
      <c r="D393" s="449" t="s">
        <v>92</v>
      </c>
      <c r="E393" s="445">
        <v>1.3</v>
      </c>
      <c r="F393" s="448"/>
      <c r="G393" s="448"/>
      <c r="H393" s="166"/>
    </row>
    <row r="394" spans="1:8" ht="14.5">
      <c r="A394" s="445">
        <v>424</v>
      </c>
      <c r="B394" s="445" t="s">
        <v>1064</v>
      </c>
      <c r="C394" s="457" t="s">
        <v>1125</v>
      </c>
      <c r="D394" s="449" t="s">
        <v>92</v>
      </c>
      <c r="E394" s="445">
        <v>0.3</v>
      </c>
      <c r="F394" s="448"/>
      <c r="G394" s="448"/>
      <c r="H394" s="166"/>
    </row>
    <row r="395" spans="1:8" ht="14.5">
      <c r="A395" s="445">
        <v>425</v>
      </c>
      <c r="B395" s="445" t="s">
        <v>1064</v>
      </c>
      <c r="C395" s="457" t="s">
        <v>1126</v>
      </c>
      <c r="D395" s="449" t="s">
        <v>92</v>
      </c>
      <c r="E395" s="445">
        <v>0.1</v>
      </c>
      <c r="F395" s="448"/>
      <c r="G395" s="448"/>
      <c r="H395" s="166"/>
    </row>
    <row r="396" spans="1:8" ht="14.5">
      <c r="A396" s="445">
        <v>426</v>
      </c>
      <c r="B396" s="445" t="s">
        <v>1064</v>
      </c>
      <c r="C396" s="457" t="s">
        <v>1127</v>
      </c>
      <c r="D396" s="449" t="s">
        <v>92</v>
      </c>
      <c r="E396" s="445">
        <v>0.8</v>
      </c>
      <c r="F396" s="448"/>
      <c r="G396" s="448"/>
      <c r="H396" s="166"/>
    </row>
    <row r="397" spans="1:8" ht="14.5">
      <c r="A397" s="445">
        <v>427</v>
      </c>
      <c r="B397" s="445" t="s">
        <v>1064</v>
      </c>
      <c r="C397" s="457" t="s">
        <v>1128</v>
      </c>
      <c r="D397" s="449" t="s">
        <v>92</v>
      </c>
      <c r="E397" s="445">
        <v>1.8</v>
      </c>
      <c r="F397" s="448"/>
      <c r="G397" s="448"/>
      <c r="H397" s="166"/>
    </row>
    <row r="398" spans="1:8" ht="14.5">
      <c r="A398" s="445">
        <v>428</v>
      </c>
      <c r="B398" s="445" t="s">
        <v>721</v>
      </c>
      <c r="C398" s="457" t="s">
        <v>1129</v>
      </c>
      <c r="D398" s="449" t="s">
        <v>536</v>
      </c>
      <c r="E398" s="445">
        <f>5.5/3</f>
        <v>1.8333333333333333</v>
      </c>
      <c r="F398" s="448"/>
      <c r="G398" s="448"/>
      <c r="H398" s="168"/>
    </row>
    <row r="399" spans="1:8" ht="14.5">
      <c r="A399" s="445">
        <v>429</v>
      </c>
      <c r="B399" s="445" t="s">
        <v>721</v>
      </c>
      <c r="C399" s="457" t="s">
        <v>1130</v>
      </c>
      <c r="D399" s="449" t="s">
        <v>536</v>
      </c>
      <c r="E399" s="445">
        <f>0.6/3</f>
        <v>0.19999999999999998</v>
      </c>
      <c r="F399" s="448"/>
      <c r="G399" s="448"/>
      <c r="H399" s="168"/>
    </row>
    <row r="400" spans="1:8" ht="14.5">
      <c r="A400" s="445">
        <v>430</v>
      </c>
      <c r="B400" s="445" t="s">
        <v>721</v>
      </c>
      <c r="C400" s="457" t="s">
        <v>1131</v>
      </c>
      <c r="D400" s="449" t="s">
        <v>92</v>
      </c>
      <c r="E400" s="445">
        <v>0.06</v>
      </c>
      <c r="F400" s="448"/>
      <c r="G400" s="448"/>
      <c r="H400" s="168"/>
    </row>
    <row r="401" spans="1:8">
      <c r="A401" s="445">
        <v>431</v>
      </c>
      <c r="B401" s="445" t="s">
        <v>727</v>
      </c>
      <c r="C401" s="445" t="s">
        <v>1132</v>
      </c>
      <c r="D401" s="449" t="s">
        <v>92</v>
      </c>
      <c r="E401" s="445">
        <v>4.2</v>
      </c>
      <c r="F401" s="447"/>
      <c r="G401" s="448"/>
      <c r="H401" s="166"/>
    </row>
    <row r="402" spans="1:8">
      <c r="A402" s="445">
        <v>432</v>
      </c>
      <c r="B402" s="445" t="s">
        <v>731</v>
      </c>
      <c r="C402" s="445" t="s">
        <v>1133</v>
      </c>
      <c r="D402" s="449" t="s">
        <v>92</v>
      </c>
      <c r="E402" s="445">
        <v>1.3</v>
      </c>
      <c r="F402" s="447"/>
      <c r="G402" s="448"/>
      <c r="H402" s="166"/>
    </row>
    <row r="403" spans="1:8">
      <c r="A403" s="445">
        <v>433</v>
      </c>
      <c r="B403" s="445" t="s">
        <v>721</v>
      </c>
      <c r="C403" s="445" t="s">
        <v>1134</v>
      </c>
      <c r="D403" s="449" t="s">
        <v>92</v>
      </c>
      <c r="E403" s="445">
        <v>0.2</v>
      </c>
      <c r="F403" s="447"/>
      <c r="G403" s="448"/>
      <c r="H403" s="166"/>
    </row>
    <row r="404" spans="1:8">
      <c r="A404" s="445">
        <v>434</v>
      </c>
      <c r="B404" s="445" t="s">
        <v>731</v>
      </c>
      <c r="C404" s="445" t="s">
        <v>1135</v>
      </c>
      <c r="D404" s="449" t="s">
        <v>92</v>
      </c>
      <c r="E404" s="445">
        <v>0.8</v>
      </c>
      <c r="F404" s="447"/>
      <c r="G404" s="448"/>
      <c r="H404" s="166"/>
    </row>
    <row r="405" spans="1:8">
      <c r="A405" s="445">
        <v>435</v>
      </c>
      <c r="B405" s="445"/>
      <c r="C405" s="445" t="s">
        <v>1136</v>
      </c>
      <c r="D405" s="449" t="s">
        <v>92</v>
      </c>
      <c r="E405" s="445">
        <v>2.8</v>
      </c>
      <c r="F405" s="447"/>
      <c r="G405" s="448"/>
      <c r="H405" s="166"/>
    </row>
    <row r="406" spans="1:8">
      <c r="A406" s="445">
        <v>436</v>
      </c>
      <c r="B406" s="445"/>
      <c r="C406" s="445" t="s">
        <v>1137</v>
      </c>
      <c r="D406" s="449" t="s">
        <v>92</v>
      </c>
      <c r="E406" s="445">
        <v>5.6</v>
      </c>
      <c r="F406" s="447"/>
      <c r="G406" s="448"/>
      <c r="H406" s="166"/>
    </row>
    <row r="407" spans="1:8">
      <c r="A407" s="445">
        <v>437</v>
      </c>
      <c r="B407" s="445" t="s">
        <v>815</v>
      </c>
      <c r="C407" s="445" t="s">
        <v>1138</v>
      </c>
      <c r="D407" s="449" t="s">
        <v>1139</v>
      </c>
      <c r="E407" s="445">
        <v>0.5</v>
      </c>
      <c r="F407" s="447"/>
      <c r="G407" s="448"/>
      <c r="H407" s="166"/>
    </row>
    <row r="408" spans="1:8">
      <c r="A408" s="445">
        <v>438</v>
      </c>
      <c r="B408" s="445" t="s">
        <v>815</v>
      </c>
      <c r="C408" s="445" t="s">
        <v>1140</v>
      </c>
      <c r="D408" s="449" t="s">
        <v>92</v>
      </c>
      <c r="E408" s="445">
        <v>0.1</v>
      </c>
      <c r="F408" s="447"/>
      <c r="G408" s="448"/>
      <c r="H408" s="166"/>
    </row>
    <row r="409" spans="1:8">
      <c r="A409" s="445">
        <v>439</v>
      </c>
      <c r="B409" s="445" t="s">
        <v>815</v>
      </c>
      <c r="C409" s="446" t="s">
        <v>1141</v>
      </c>
      <c r="D409" s="449" t="s">
        <v>828</v>
      </c>
      <c r="E409" s="445">
        <v>0.3</v>
      </c>
      <c r="F409" s="447"/>
      <c r="G409" s="448"/>
      <c r="H409" s="166"/>
    </row>
    <row r="410" spans="1:8">
      <c r="A410" s="445">
        <v>440</v>
      </c>
      <c r="B410" s="445" t="s">
        <v>815</v>
      </c>
      <c r="C410" s="446" t="s">
        <v>1142</v>
      </c>
      <c r="D410" s="449" t="s">
        <v>92</v>
      </c>
      <c r="E410" s="445">
        <v>0.1</v>
      </c>
      <c r="F410" s="447"/>
      <c r="G410" s="448"/>
      <c r="H410" s="166"/>
    </row>
    <row r="411" spans="1:8">
      <c r="A411" s="445">
        <v>441</v>
      </c>
      <c r="B411" s="445" t="s">
        <v>815</v>
      </c>
      <c r="C411" s="446" t="s">
        <v>1143</v>
      </c>
      <c r="D411" s="449" t="s">
        <v>92</v>
      </c>
      <c r="E411" s="445">
        <v>0.3</v>
      </c>
      <c r="F411" s="447"/>
      <c r="G411" s="448"/>
      <c r="H411" s="166"/>
    </row>
    <row r="412" spans="1:8">
      <c r="A412" s="445">
        <v>442</v>
      </c>
      <c r="B412" s="445" t="s">
        <v>815</v>
      </c>
      <c r="C412" s="446" t="s">
        <v>1144</v>
      </c>
      <c r="D412" s="449" t="s">
        <v>92</v>
      </c>
      <c r="E412" s="445">
        <v>0.2</v>
      </c>
      <c r="F412" s="447"/>
      <c r="G412" s="448"/>
      <c r="H412" s="166"/>
    </row>
    <row r="413" spans="1:8">
      <c r="A413" s="445">
        <v>443</v>
      </c>
      <c r="B413" s="445" t="s">
        <v>815</v>
      </c>
      <c r="C413" s="446" t="s">
        <v>1145</v>
      </c>
      <c r="D413" s="449" t="s">
        <v>92</v>
      </c>
      <c r="E413" s="445">
        <v>0.05</v>
      </c>
      <c r="F413" s="447"/>
      <c r="G413" s="448"/>
      <c r="H413" s="166"/>
    </row>
    <row r="414" spans="1:8">
      <c r="A414" s="445">
        <v>444</v>
      </c>
      <c r="B414" s="445" t="s">
        <v>815</v>
      </c>
      <c r="C414" s="445" t="s">
        <v>1146</v>
      </c>
      <c r="D414" s="449" t="s">
        <v>828</v>
      </c>
      <c r="E414" s="445">
        <v>0.75</v>
      </c>
      <c r="F414" s="447"/>
      <c r="G414" s="448"/>
      <c r="H414" s="166"/>
    </row>
    <row r="415" spans="1:8">
      <c r="A415" s="445">
        <v>445</v>
      </c>
      <c r="B415" s="445" t="s">
        <v>815</v>
      </c>
      <c r="C415" s="445" t="s">
        <v>1147</v>
      </c>
      <c r="D415" s="449" t="s">
        <v>92</v>
      </c>
      <c r="E415" s="445">
        <v>7.4999999999999997E-2</v>
      </c>
      <c r="F415" s="447"/>
      <c r="G415" s="448"/>
      <c r="H415" s="166"/>
    </row>
    <row r="416" spans="1:8">
      <c r="A416" s="445">
        <v>446</v>
      </c>
      <c r="B416" s="445" t="s">
        <v>815</v>
      </c>
      <c r="C416" s="445" t="s">
        <v>1148</v>
      </c>
      <c r="D416" s="449" t="s">
        <v>92</v>
      </c>
      <c r="E416" s="445">
        <v>7.4999999999999997E-2</v>
      </c>
      <c r="F416" s="447"/>
      <c r="G416" s="448"/>
      <c r="H416" s="166"/>
    </row>
    <row r="417" spans="1:8">
      <c r="A417" s="445">
        <v>447</v>
      </c>
      <c r="B417" s="445" t="s">
        <v>815</v>
      </c>
      <c r="C417" s="445" t="s">
        <v>1149</v>
      </c>
      <c r="D417" s="449" t="s">
        <v>92</v>
      </c>
      <c r="E417" s="445">
        <v>0.15</v>
      </c>
      <c r="F417" s="447"/>
      <c r="G417" s="448"/>
      <c r="H417" s="166"/>
    </row>
    <row r="418" spans="1:8">
      <c r="A418" s="445">
        <v>448</v>
      </c>
      <c r="B418" s="445" t="s">
        <v>815</v>
      </c>
      <c r="C418" s="445" t="s">
        <v>1150</v>
      </c>
      <c r="D418" s="449" t="s">
        <v>618</v>
      </c>
      <c r="E418" s="445">
        <f>9.67*0.8</f>
        <v>7.7360000000000007</v>
      </c>
      <c r="F418" s="447"/>
      <c r="G418" s="448"/>
      <c r="H418" s="166"/>
    </row>
    <row r="419" spans="1:8">
      <c r="A419" s="445">
        <v>449</v>
      </c>
      <c r="B419" s="445" t="s">
        <v>815</v>
      </c>
      <c r="C419" s="445" t="s">
        <v>1151</v>
      </c>
      <c r="D419" s="449" t="s">
        <v>618</v>
      </c>
      <c r="E419" s="445">
        <v>0.8</v>
      </c>
      <c r="F419" s="447"/>
      <c r="G419" s="448"/>
      <c r="H419" s="166"/>
    </row>
    <row r="420" spans="1:8">
      <c r="A420" s="445">
        <v>450</v>
      </c>
      <c r="B420" s="445" t="s">
        <v>815</v>
      </c>
      <c r="C420" s="445" t="s">
        <v>1152</v>
      </c>
      <c r="D420" s="449" t="s">
        <v>828</v>
      </c>
      <c r="E420" s="445">
        <v>2.68</v>
      </c>
      <c r="F420" s="447"/>
      <c r="G420" s="448"/>
      <c r="H420" s="166"/>
    </row>
    <row r="421" spans="1:8">
      <c r="A421" s="445">
        <v>451</v>
      </c>
      <c r="B421" s="445" t="s">
        <v>815</v>
      </c>
      <c r="C421" s="445" t="s">
        <v>1153</v>
      </c>
      <c r="D421" s="449" t="s">
        <v>828</v>
      </c>
      <c r="E421" s="445">
        <v>3.3000000000000002E-2</v>
      </c>
      <c r="F421" s="447"/>
      <c r="G421" s="448"/>
      <c r="H421" s="166"/>
    </row>
    <row r="422" spans="1:8">
      <c r="A422" s="445">
        <v>452</v>
      </c>
      <c r="B422" s="445" t="s">
        <v>815</v>
      </c>
      <c r="C422" s="445" t="s">
        <v>1154</v>
      </c>
      <c r="D422" s="449" t="s">
        <v>92</v>
      </c>
      <c r="E422" s="445">
        <v>7.4999999999999997E-2</v>
      </c>
      <c r="F422" s="447"/>
      <c r="G422" s="448"/>
      <c r="H422" s="166"/>
    </row>
    <row r="423" spans="1:8">
      <c r="A423" s="445">
        <v>453</v>
      </c>
      <c r="B423" s="445" t="s">
        <v>815</v>
      </c>
      <c r="C423" s="445" t="s">
        <v>1155</v>
      </c>
      <c r="D423" s="449" t="s">
        <v>830</v>
      </c>
      <c r="E423" s="445">
        <v>3.786</v>
      </c>
      <c r="F423" s="447"/>
      <c r="G423" s="448"/>
      <c r="H423" s="166"/>
    </row>
    <row r="424" spans="1:8">
      <c r="A424" s="445">
        <v>454</v>
      </c>
      <c r="B424" s="445" t="s">
        <v>815</v>
      </c>
      <c r="C424" s="445" t="s">
        <v>1156</v>
      </c>
      <c r="D424" s="449" t="s">
        <v>934</v>
      </c>
      <c r="E424" s="445">
        <v>4</v>
      </c>
      <c r="F424" s="447"/>
      <c r="G424" s="448"/>
      <c r="H424" s="166"/>
    </row>
    <row r="425" spans="1:8">
      <c r="A425" s="445">
        <v>455</v>
      </c>
      <c r="B425" s="445" t="s">
        <v>815</v>
      </c>
      <c r="C425" s="445" t="s">
        <v>1157</v>
      </c>
      <c r="D425" s="449" t="s">
        <v>92</v>
      </c>
      <c r="E425" s="445">
        <v>0.12</v>
      </c>
      <c r="F425" s="447"/>
      <c r="G425" s="448"/>
      <c r="H425" s="166"/>
    </row>
    <row r="426" spans="1:8">
      <c r="A426" s="445">
        <v>456</v>
      </c>
      <c r="B426" s="445"/>
      <c r="C426" s="445" t="s">
        <v>1158</v>
      </c>
      <c r="D426" s="449" t="s">
        <v>92</v>
      </c>
      <c r="E426" s="445">
        <v>50</v>
      </c>
      <c r="F426" s="447"/>
      <c r="G426" s="448"/>
      <c r="H426" s="166"/>
    </row>
    <row r="427" spans="1:8">
      <c r="A427" s="445">
        <v>457</v>
      </c>
      <c r="B427" s="445"/>
      <c r="C427" s="445" t="s">
        <v>1159</v>
      </c>
      <c r="D427" s="449" t="s">
        <v>92</v>
      </c>
      <c r="E427" s="445">
        <v>6.6000000000000003E-2</v>
      </c>
      <c r="F427" s="447"/>
      <c r="G427" s="448"/>
      <c r="H427" s="166"/>
    </row>
    <row r="428" spans="1:8">
      <c r="A428" s="445">
        <v>458</v>
      </c>
      <c r="B428" s="445"/>
      <c r="C428" s="446" t="s">
        <v>1160</v>
      </c>
      <c r="D428" s="449" t="s">
        <v>92</v>
      </c>
      <c r="E428" s="445">
        <v>3</v>
      </c>
      <c r="F428" s="447"/>
      <c r="G428" s="448"/>
      <c r="H428" s="167"/>
    </row>
    <row r="429" spans="1:8">
      <c r="A429" s="445">
        <v>459</v>
      </c>
      <c r="B429" s="445" t="s">
        <v>717</v>
      </c>
      <c r="C429" s="445" t="s">
        <v>1161</v>
      </c>
      <c r="D429" s="449" t="s">
        <v>828</v>
      </c>
      <c r="E429" s="445">
        <v>1.5979999999999999</v>
      </c>
      <c r="F429" s="447"/>
      <c r="G429" s="448"/>
      <c r="H429" s="166"/>
    </row>
    <row r="430" spans="1:8">
      <c r="A430" s="445">
        <v>460</v>
      </c>
      <c r="B430" s="445" t="s">
        <v>717</v>
      </c>
      <c r="C430" s="445" t="s">
        <v>1162</v>
      </c>
      <c r="D430" s="449" t="s">
        <v>828</v>
      </c>
      <c r="E430" s="445">
        <v>2.5820000000000003</v>
      </c>
      <c r="F430" s="447"/>
      <c r="G430" s="448"/>
      <c r="H430" s="166"/>
    </row>
    <row r="431" spans="1:8">
      <c r="A431" s="445">
        <v>461</v>
      </c>
      <c r="B431" s="445" t="s">
        <v>715</v>
      </c>
      <c r="C431" s="449" t="s">
        <v>1163</v>
      </c>
      <c r="D431" s="449" t="s">
        <v>92</v>
      </c>
      <c r="E431" s="445">
        <v>13.5</v>
      </c>
      <c r="F431" s="447"/>
      <c r="G431" s="448"/>
      <c r="H431" s="166"/>
    </row>
    <row r="432" spans="1:8">
      <c r="A432" s="445">
        <v>462</v>
      </c>
      <c r="B432" s="445" t="s">
        <v>715</v>
      </c>
      <c r="C432" s="449" t="s">
        <v>1164</v>
      </c>
      <c r="D432" s="449" t="s">
        <v>92</v>
      </c>
      <c r="E432" s="445">
        <v>25</v>
      </c>
      <c r="F432" s="447"/>
      <c r="G432" s="448"/>
      <c r="H432" s="166"/>
    </row>
    <row r="433" spans="1:8">
      <c r="A433" s="445">
        <v>463</v>
      </c>
      <c r="B433" s="445"/>
      <c r="C433" s="445" t="s">
        <v>1165</v>
      </c>
      <c r="D433" s="449" t="s">
        <v>92</v>
      </c>
      <c r="E433" s="445">
        <v>0.1</v>
      </c>
      <c r="F433" s="447"/>
      <c r="G433" s="448"/>
      <c r="H433" s="166"/>
    </row>
    <row r="434" spans="1:8">
      <c r="A434" s="445">
        <v>464</v>
      </c>
      <c r="B434" s="445"/>
      <c r="C434" s="445" t="s">
        <v>1166</v>
      </c>
      <c r="D434" s="449" t="s">
        <v>92</v>
      </c>
      <c r="E434" s="445">
        <v>0.1</v>
      </c>
      <c r="F434" s="447"/>
      <c r="G434" s="448"/>
      <c r="H434" s="166"/>
    </row>
    <row r="435" spans="1:8">
      <c r="A435" s="445">
        <v>465</v>
      </c>
      <c r="B435" s="445" t="s">
        <v>717</v>
      </c>
      <c r="C435" s="445" t="s">
        <v>1167</v>
      </c>
      <c r="D435" s="449" t="s">
        <v>536</v>
      </c>
      <c r="E435" s="445">
        <v>0.875</v>
      </c>
      <c r="F435" s="447"/>
      <c r="G435" s="448"/>
      <c r="H435" s="166"/>
    </row>
    <row r="436" spans="1:8">
      <c r="A436" s="445">
        <v>466</v>
      </c>
      <c r="B436" s="445" t="s">
        <v>731</v>
      </c>
      <c r="C436" s="445" t="s">
        <v>1168</v>
      </c>
      <c r="D436" s="445" t="s">
        <v>92</v>
      </c>
      <c r="E436" s="445">
        <v>1.2</v>
      </c>
      <c r="F436" s="447"/>
      <c r="G436" s="448"/>
      <c r="H436" s="166"/>
    </row>
    <row r="437" spans="1:8">
      <c r="A437" s="445">
        <v>467</v>
      </c>
      <c r="B437" s="445" t="s">
        <v>731</v>
      </c>
      <c r="C437" s="445" t="s">
        <v>1169</v>
      </c>
      <c r="D437" s="445" t="s">
        <v>92</v>
      </c>
      <c r="E437" s="445">
        <v>3.8</v>
      </c>
      <c r="F437" s="447"/>
      <c r="G437" s="448"/>
      <c r="H437" s="166"/>
    </row>
    <row r="438" spans="1:8">
      <c r="A438" s="445"/>
      <c r="B438" s="458"/>
      <c r="C438" s="445"/>
      <c r="D438" s="449"/>
      <c r="E438" s="458"/>
      <c r="F438" s="459"/>
      <c r="G438" s="460"/>
      <c r="H438" s="168"/>
    </row>
    <row r="439" spans="1:8">
      <c r="A439" s="445"/>
      <c r="B439" s="458"/>
      <c r="C439" s="445"/>
      <c r="D439" s="449"/>
      <c r="E439" s="458"/>
      <c r="F439" s="459"/>
      <c r="G439" s="460"/>
      <c r="H439" s="168"/>
    </row>
    <row r="440" spans="1:8">
      <c r="A440" s="445"/>
      <c r="B440" s="445"/>
      <c r="C440" s="445"/>
      <c r="D440" s="449"/>
      <c r="E440" s="445"/>
      <c r="F440" s="447"/>
      <c r="G440" s="448"/>
      <c r="H440" s="166"/>
    </row>
    <row r="441" spans="1:8">
      <c r="A441" s="445">
        <v>370</v>
      </c>
      <c r="B441" s="445" t="s">
        <v>815</v>
      </c>
      <c r="C441" s="445" t="s">
        <v>1170</v>
      </c>
      <c r="D441" s="449" t="s">
        <v>298</v>
      </c>
      <c r="E441" s="445">
        <v>1</v>
      </c>
      <c r="F441" s="447"/>
      <c r="G441" s="448"/>
      <c r="H441" s="166"/>
    </row>
    <row r="442" spans="1:8">
      <c r="A442" s="445">
        <v>371</v>
      </c>
      <c r="B442" s="445" t="s">
        <v>815</v>
      </c>
      <c r="C442" s="445" t="s">
        <v>1171</v>
      </c>
      <c r="D442" s="449" t="s">
        <v>630</v>
      </c>
      <c r="E442" s="445">
        <v>1</v>
      </c>
      <c r="F442" s="447"/>
      <c r="G442" s="448"/>
      <c r="H442" s="166"/>
    </row>
    <row r="443" spans="1:8">
      <c r="A443" s="445">
        <v>372</v>
      </c>
      <c r="B443" s="445" t="s">
        <v>815</v>
      </c>
      <c r="C443" s="445" t="s">
        <v>1172</v>
      </c>
      <c r="D443" s="449" t="s">
        <v>630</v>
      </c>
      <c r="E443" s="445">
        <v>1</v>
      </c>
      <c r="F443" s="447"/>
      <c r="G443" s="448"/>
      <c r="H443" s="166"/>
    </row>
    <row r="444" spans="1:8">
      <c r="A444" s="445">
        <v>373</v>
      </c>
      <c r="B444" s="445" t="s">
        <v>815</v>
      </c>
      <c r="C444" s="445" t="s">
        <v>1173</v>
      </c>
      <c r="D444" s="449" t="s">
        <v>618</v>
      </c>
      <c r="E444" s="445">
        <v>74.849999999999994</v>
      </c>
      <c r="F444" s="447"/>
      <c r="G444" s="448"/>
      <c r="H444" s="166"/>
    </row>
    <row r="445" spans="1:8">
      <c r="A445" s="445">
        <v>374</v>
      </c>
      <c r="B445" s="445" t="s">
        <v>815</v>
      </c>
      <c r="C445" s="445" t="s">
        <v>1174</v>
      </c>
      <c r="D445" s="449" t="s">
        <v>618</v>
      </c>
      <c r="E445" s="445">
        <v>49.87</v>
      </c>
      <c r="F445" s="447"/>
      <c r="G445" s="448"/>
      <c r="H445" s="166"/>
    </row>
    <row r="446" spans="1:8">
      <c r="A446" s="445">
        <v>375</v>
      </c>
      <c r="B446" s="445" t="s">
        <v>815</v>
      </c>
      <c r="C446" s="445" t="s">
        <v>1175</v>
      </c>
      <c r="D446" s="445" t="s">
        <v>630</v>
      </c>
      <c r="E446" s="445">
        <v>1</v>
      </c>
      <c r="F446" s="448"/>
      <c r="G446" s="448"/>
      <c r="H446" s="168"/>
    </row>
    <row r="447" spans="1:8">
      <c r="A447" s="445">
        <v>376</v>
      </c>
      <c r="B447" s="445" t="s">
        <v>815</v>
      </c>
      <c r="C447" s="445" t="s">
        <v>1176</v>
      </c>
      <c r="D447" s="445" t="s">
        <v>1177</v>
      </c>
      <c r="E447" s="445">
        <v>0.5</v>
      </c>
      <c r="F447" s="448"/>
      <c r="G447" s="448"/>
      <c r="H447" s="168"/>
    </row>
    <row r="448" spans="1:8">
      <c r="A448" s="445">
        <v>377</v>
      </c>
      <c r="B448" s="445" t="s">
        <v>815</v>
      </c>
      <c r="C448" s="445" t="s">
        <v>1178</v>
      </c>
      <c r="D448" s="445" t="s">
        <v>1177</v>
      </c>
      <c r="E448" s="445">
        <v>0.1</v>
      </c>
      <c r="F448" s="448"/>
      <c r="G448" s="448"/>
      <c r="H448" s="168"/>
    </row>
    <row r="449" spans="1:8">
      <c r="A449" s="445">
        <v>378</v>
      </c>
      <c r="B449" s="445" t="s">
        <v>815</v>
      </c>
      <c r="C449" s="445" t="s">
        <v>1179</v>
      </c>
      <c r="D449" s="445" t="s">
        <v>630</v>
      </c>
      <c r="E449" s="445">
        <v>1</v>
      </c>
      <c r="F449" s="448"/>
      <c r="G449" s="448"/>
      <c r="H449" s="168"/>
    </row>
    <row r="450" spans="1:8">
      <c r="A450" s="445">
        <v>379</v>
      </c>
      <c r="B450" s="445" t="s">
        <v>815</v>
      </c>
      <c r="C450" s="445" t="s">
        <v>1180</v>
      </c>
      <c r="D450" s="445" t="s">
        <v>630</v>
      </c>
      <c r="E450" s="445">
        <v>1</v>
      </c>
      <c r="F450" s="448"/>
      <c r="G450" s="448"/>
      <c r="H450" s="168"/>
    </row>
    <row r="451" spans="1:8">
      <c r="A451" s="445"/>
      <c r="B451" s="445"/>
      <c r="C451" s="445"/>
      <c r="D451" s="445"/>
      <c r="E451" s="445"/>
      <c r="F451" s="448"/>
      <c r="G451" s="448"/>
      <c r="H451" s="168"/>
    </row>
    <row r="452" spans="1:8">
      <c r="A452" s="445">
        <v>396</v>
      </c>
      <c r="B452" s="445" t="s">
        <v>815</v>
      </c>
      <c r="C452" s="446" t="s">
        <v>1181</v>
      </c>
      <c r="D452" s="449" t="s">
        <v>621</v>
      </c>
      <c r="E452" s="445">
        <v>1700</v>
      </c>
      <c r="F452" s="447"/>
      <c r="G452" s="448"/>
      <c r="H452" s="166"/>
    </row>
  </sheetData>
  <mergeCells count="2">
    <mergeCell ref="A1:H1"/>
    <mergeCell ref="A3:H3"/>
  </mergeCells>
  <phoneticPr fontId="32" type="noConversion"/>
  <conditionalFormatting sqref="C364">
    <cfRule type="duplicateValues" dxfId="41" priority="4"/>
    <cfRule type="duplicateValues" dxfId="40" priority="5"/>
    <cfRule type="duplicateValues" dxfId="39" priority="6"/>
  </conditionalFormatting>
  <conditionalFormatting sqref="C385:C400">
    <cfRule type="duplicateValues" dxfId="38" priority="7"/>
    <cfRule type="duplicateValues" dxfId="37" priority="8"/>
    <cfRule type="duplicateValues" dxfId="36" priority="9"/>
  </conditionalFormatting>
  <pageMargins left="0.32" right="0.19" top="0.52" bottom="0.43" header="0.31496062992125984" footer="0.31496062992125984"/>
  <pageSetup scale="41" fitToHeight="4" orientation="portrait" r:id="rId1"/>
  <drawing r:id="rId2"/>
  <tableParts count="1">
    <tablePart r:id="rId3"/>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C7EF-B231-4BBD-8260-8C3CB46EF6BE}">
  <sheetPr codeName="Hoja44">
    <tabColor theme="5" tint="0.79998168889431442"/>
    <pageSetUpPr fitToPage="1"/>
  </sheetPr>
  <dimension ref="A1:F13"/>
  <sheetViews>
    <sheetView view="pageBreakPreview" zoomScale="110" zoomScaleNormal="100" zoomScaleSheetLayoutView="110" workbookViewId="0">
      <selection activeCell="E4" sqref="E4:E7"/>
    </sheetView>
  </sheetViews>
  <sheetFormatPr baseColWidth="10" defaultColWidth="11.453125" defaultRowHeight="12.5"/>
  <cols>
    <col min="1" max="1" width="47" customWidth="1"/>
    <col min="2" max="2" width="13.81640625" style="162" customWidth="1"/>
    <col min="3" max="4" width="13.7265625" customWidth="1"/>
    <col min="5" max="5" width="17.54296875" customWidth="1"/>
    <col min="6" max="6" width="21.453125" customWidth="1"/>
  </cols>
  <sheetData>
    <row r="1" spans="1:6">
      <c r="A1" s="108"/>
      <c r="B1" s="165"/>
      <c r="C1" s="678" t="s">
        <v>1182</v>
      </c>
      <c r="D1" s="679"/>
      <c r="E1" s="680" t="s">
        <v>1183</v>
      </c>
      <c r="F1" s="680"/>
    </row>
    <row r="2" spans="1:6">
      <c r="A2" s="108"/>
      <c r="B2" s="165"/>
      <c r="C2" s="197" t="s">
        <v>1184</v>
      </c>
      <c r="D2" s="198" t="s">
        <v>1185</v>
      </c>
      <c r="E2" s="197" t="s">
        <v>1186</v>
      </c>
      <c r="F2" s="197" t="s">
        <v>7</v>
      </c>
    </row>
    <row r="3" spans="1:6">
      <c r="A3" s="681" t="str">
        <f>+'PRES. SISFV 2010wp'!A1</f>
        <v>IMPLEMENTACIÓN Y PUESTA EN FUNCIONAMIENTO DE SISTEMA INDIVIDUAL SOLAR FOTOVOLTAICO</v>
      </c>
      <c r="B3" s="681"/>
      <c r="C3" s="681"/>
      <c r="D3" s="681"/>
      <c r="E3" s="681"/>
      <c r="F3" s="681"/>
    </row>
    <row r="4" spans="1:6" ht="25">
      <c r="A4" s="411" t="str">
        <f>+'2.1.1'!B8</f>
        <v>Módulo solar fotovoltaico monocristalino tipo PERC "Half Cell" TIER 1 de 670 Wp</v>
      </c>
      <c r="B4" s="412" t="s">
        <v>1187</v>
      </c>
      <c r="C4" s="413">
        <f>3*'PRES GENERAL MR'!D7</f>
        <v>1947</v>
      </c>
      <c r="D4" s="248">
        <f>+C4</f>
        <v>1947</v>
      </c>
      <c r="E4" s="414">
        <f>+'2.1.1'!F8</f>
        <v>0</v>
      </c>
      <c r="F4" s="415">
        <f>+D4*E4</f>
        <v>0</v>
      </c>
    </row>
    <row r="5" spans="1:6" ht="25">
      <c r="A5" s="411" t="str">
        <f>+'2.1.5'!B8</f>
        <v>Batería de LiFePO4 6.1 kWh - 48V - 120 Ah,6000 ciclos con DOD 80%, incluido BMS</v>
      </c>
      <c r="B5" s="412" t="s">
        <v>1188</v>
      </c>
      <c r="C5" s="413">
        <f>+'PRES GENERAL MR'!D7</f>
        <v>649</v>
      </c>
      <c r="D5" s="248">
        <f t="shared" ref="D5:D7" si="0">+C5</f>
        <v>649</v>
      </c>
      <c r="E5" s="414">
        <f>+'2.1.5'!F8</f>
        <v>0</v>
      </c>
      <c r="F5" s="415">
        <f>+D5*E5</f>
        <v>0</v>
      </c>
    </row>
    <row r="6" spans="1:6" ht="13">
      <c r="A6" s="411" t="str">
        <f>+'2.1.4'!B8</f>
        <v>Controlador de carga MPPT 48 VDC capacidad 50 A</v>
      </c>
      <c r="B6" s="412"/>
      <c r="C6" s="416">
        <f>+'PRES GENERAL MR'!D7</f>
        <v>649</v>
      </c>
      <c r="D6" s="248">
        <f t="shared" si="0"/>
        <v>649</v>
      </c>
      <c r="E6" s="414">
        <f>+'2.1.4'!F8</f>
        <v>0</v>
      </c>
      <c r="F6" s="415">
        <f>+D6*E6</f>
        <v>0</v>
      </c>
    </row>
    <row r="7" spans="1:6" ht="23.5" customHeight="1">
      <c r="A7" s="411" t="str">
        <f>+'2.1.6'!B8</f>
        <v>Inversor de onda senoidal pura 48 VDC / 120 VAC -  2000 VA, FP=1</v>
      </c>
      <c r="B7" s="412"/>
      <c r="C7" s="416">
        <f>+'PRES GENERAL MR'!D7</f>
        <v>649</v>
      </c>
      <c r="D7" s="248">
        <f t="shared" si="0"/>
        <v>649</v>
      </c>
      <c r="E7" s="414">
        <f>+'2.1.6'!F8</f>
        <v>0</v>
      </c>
      <c r="F7" s="415">
        <f>+D7*E7</f>
        <v>0</v>
      </c>
    </row>
    <row r="8" spans="1:6">
      <c r="A8" s="681" t="str">
        <f>+'PRES MR 5 KW'!A1</f>
        <v>IMPLEMENTAR SSVF MICRORED 5 KW</v>
      </c>
      <c r="B8" s="681"/>
      <c r="C8" s="681"/>
      <c r="D8" s="681"/>
      <c r="E8" s="681"/>
      <c r="F8" s="681"/>
    </row>
    <row r="9" spans="1:6" ht="25">
      <c r="A9" s="411" t="str">
        <f>+'3.1.1'!B8</f>
        <v>Módulo solar fotovoltaico monocristalino tipo PERC "Half Cell" TIER 1 de 670 Wp</v>
      </c>
      <c r="B9" s="412" t="s">
        <v>1187</v>
      </c>
      <c r="C9" s="413">
        <f>'PRES GENERAL MR'!D12*'PRES MR 5 KW'!D6</f>
        <v>56</v>
      </c>
      <c r="D9" s="248">
        <f>+C9</f>
        <v>56</v>
      </c>
      <c r="E9" s="414">
        <f>+'3.1.1'!F8</f>
        <v>0</v>
      </c>
      <c r="F9" s="415">
        <f>+D9*E9</f>
        <v>0</v>
      </c>
    </row>
    <row r="10" spans="1:6" ht="25">
      <c r="A10" s="411" t="str">
        <f>+'3.1.6'!B8</f>
        <v>Batería de LiFePO4 6.1 kWh - 48V - 120 Ah,6000 ciclos con DOD 80%, incluido BMS</v>
      </c>
      <c r="B10" s="412" t="s">
        <v>1188</v>
      </c>
      <c r="C10" s="413">
        <f>+'PRES GENERAL MR'!D12*9</f>
        <v>18</v>
      </c>
      <c r="D10" s="248">
        <f t="shared" ref="D10:D12" si="1">+C10</f>
        <v>18</v>
      </c>
      <c r="E10" s="414">
        <f>+'3.1.6'!F8</f>
        <v>0</v>
      </c>
      <c r="F10" s="415">
        <f>+D10*E10</f>
        <v>0</v>
      </c>
    </row>
    <row r="11" spans="1:6" ht="50">
      <c r="A11" s="411" t="str">
        <f>+'3.1.4'!B8</f>
        <v>Controlador MPPT RS 450/200A, tensiones de trabajo a 24V-48V, con conexión bluetoot y VE.CAN para configuración y monitorización de historico, eficiencia de conversión 99%, función de trabajo en paralelo</v>
      </c>
      <c r="B11" s="412"/>
      <c r="C11" s="416">
        <f>+'PRES MR 5 KW'!D9*'PRES GENERAL MR'!D12</f>
        <v>4</v>
      </c>
      <c r="D11" s="248">
        <f t="shared" si="1"/>
        <v>4</v>
      </c>
      <c r="E11" s="414">
        <f>+'3.1.4'!F8</f>
        <v>0</v>
      </c>
      <c r="F11" s="415">
        <f>+D11*E11</f>
        <v>0</v>
      </c>
    </row>
    <row r="12" spans="1:6" ht="45.65" customHeight="1">
      <c r="A12" s="411" t="str">
        <f>+'3.1.7'!B8</f>
        <v>Inversor 5kVA, voltaje de salida 230V/120V, con dos entradas CA y dos salidas CA, certificacion IEC 60335-1, IEC 60335-2 y IEC 62109-1</v>
      </c>
      <c r="B12" s="412"/>
      <c r="C12" s="416">
        <f>+'PRES MR 5 KW'!D12*'PRES GENERAL MR'!D12</f>
        <v>2</v>
      </c>
      <c r="D12" s="248">
        <f t="shared" si="1"/>
        <v>2</v>
      </c>
      <c r="E12" s="414">
        <f>+'3.1.7'!F8</f>
        <v>0</v>
      </c>
      <c r="F12" s="415">
        <f>+D12*E12</f>
        <v>0</v>
      </c>
    </row>
    <row r="13" spans="1:6" ht="13">
      <c r="F13" s="417">
        <f>SUM(F4:F7,F9:F12)</f>
        <v>0</v>
      </c>
    </row>
  </sheetData>
  <mergeCells count="4">
    <mergeCell ref="C1:D1"/>
    <mergeCell ref="E1:F1"/>
    <mergeCell ref="A3:F3"/>
    <mergeCell ref="A8:F8"/>
  </mergeCells>
  <phoneticPr fontId="32" type="noConversion"/>
  <pageMargins left="0.70866141732283472" right="0.70866141732283472" top="0.74803149606299213" bottom="0.74803149606299213" header="0.31496062992125984" footer="0.31496062992125984"/>
  <pageSetup scale="98" orientation="landscape"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BDBC-9A4C-4385-968F-E713656EB5A8}">
  <sheetPr codeName="Hoja2">
    <tabColor theme="9" tint="0.59999389629810485"/>
  </sheetPr>
  <dimension ref="A1:P69"/>
  <sheetViews>
    <sheetView view="pageBreakPreview" topLeftCell="A16" zoomScale="60" zoomScaleNormal="100" workbookViewId="0">
      <selection activeCell="A69" sqref="A69"/>
    </sheetView>
  </sheetViews>
  <sheetFormatPr baseColWidth="10" defaultColWidth="11.453125" defaultRowHeight="12.5"/>
  <cols>
    <col min="1" max="1" width="47.81640625" bestFit="1" customWidth="1"/>
    <col min="2" max="2" width="20" bestFit="1" customWidth="1"/>
    <col min="4" max="4" width="12.81640625" bestFit="1" customWidth="1"/>
    <col min="5" max="16" width="11.453125" style="3"/>
  </cols>
  <sheetData>
    <row r="1" spans="1:7" ht="12.75" customHeight="1">
      <c r="A1" s="683" t="s">
        <v>16</v>
      </c>
      <c r="B1" s="683"/>
      <c r="C1" s="683"/>
      <c r="D1" s="1"/>
      <c r="E1" s="2"/>
      <c r="F1" s="2"/>
      <c r="G1" s="2"/>
    </row>
    <row r="2" spans="1:7">
      <c r="A2" s="683"/>
      <c r="B2" s="683"/>
      <c r="C2" s="683"/>
      <c r="D2" s="1"/>
      <c r="E2" s="2"/>
      <c r="F2" s="2"/>
      <c r="G2" s="2"/>
    </row>
    <row r="4" spans="1:7">
      <c r="A4" s="684" t="s">
        <v>17</v>
      </c>
      <c r="B4" s="684"/>
      <c r="C4" s="684"/>
    </row>
    <row r="5" spans="1:7">
      <c r="A5" s="685" t="s">
        <v>18</v>
      </c>
      <c r="B5" s="685"/>
      <c r="C5" s="685"/>
    </row>
    <row r="6" spans="1:7">
      <c r="A6" s="323" t="s">
        <v>19</v>
      </c>
      <c r="B6" s="324" t="s">
        <v>20</v>
      </c>
      <c r="C6" s="324" t="s">
        <v>21</v>
      </c>
    </row>
    <row r="7" spans="1:7" ht="14.5">
      <c r="A7" s="325" t="s">
        <v>22</v>
      </c>
      <c r="B7" s="325" t="s">
        <v>23</v>
      </c>
      <c r="C7" s="4">
        <v>15</v>
      </c>
    </row>
    <row r="8" spans="1:7" ht="14.5">
      <c r="A8" s="325" t="s">
        <v>24</v>
      </c>
      <c r="B8" s="325" t="s">
        <v>25</v>
      </c>
      <c r="C8" s="4">
        <v>15</v>
      </c>
    </row>
    <row r="11" spans="1:7">
      <c r="A11" s="684" t="s">
        <v>26</v>
      </c>
      <c r="B11" s="684"/>
      <c r="C11" s="684"/>
      <c r="D11" s="684"/>
    </row>
    <row r="12" spans="1:7">
      <c r="A12" s="323" t="s">
        <v>19</v>
      </c>
      <c r="B12" s="324" t="s">
        <v>20</v>
      </c>
      <c r="C12" s="324" t="s">
        <v>21</v>
      </c>
      <c r="D12" s="324" t="s">
        <v>27</v>
      </c>
    </row>
    <row r="13" spans="1:7" ht="14.5">
      <c r="A13" s="325" t="s">
        <v>28</v>
      </c>
      <c r="B13" s="325" t="s">
        <v>29</v>
      </c>
      <c r="C13" s="5">
        <v>1</v>
      </c>
      <c r="D13" s="249">
        <f>1/C13</f>
        <v>1</v>
      </c>
    </row>
    <row r="14" spans="1:7" ht="14.5">
      <c r="A14" s="325" t="s">
        <v>30</v>
      </c>
      <c r="B14" s="325" t="s">
        <v>29</v>
      </c>
      <c r="C14" s="5">
        <v>5</v>
      </c>
      <c r="D14" s="249">
        <f>1/C14</f>
        <v>0.2</v>
      </c>
    </row>
    <row r="15" spans="1:7" ht="14.5">
      <c r="A15" s="325" t="s">
        <v>31</v>
      </c>
      <c r="B15" s="325" t="s">
        <v>29</v>
      </c>
      <c r="C15" s="5">
        <f>+C30</f>
        <v>9</v>
      </c>
      <c r="D15" s="326">
        <f t="shared" ref="D15:D23" si="0">1/C15</f>
        <v>0.1111111111111111</v>
      </c>
    </row>
    <row r="16" spans="1:7" ht="14.5">
      <c r="A16" s="325" t="s">
        <v>32</v>
      </c>
      <c r="B16" s="325" t="s">
        <v>29</v>
      </c>
      <c r="C16" s="5">
        <v>3</v>
      </c>
      <c r="D16" s="326">
        <f t="shared" si="0"/>
        <v>0.33333333333333331</v>
      </c>
    </row>
    <row r="17" spans="1:16" ht="14.5">
      <c r="A17" s="325" t="s">
        <v>33</v>
      </c>
      <c r="B17" s="325" t="s">
        <v>29</v>
      </c>
      <c r="C17" s="6">
        <v>2</v>
      </c>
      <c r="D17" s="326">
        <f t="shared" si="0"/>
        <v>0.5</v>
      </c>
    </row>
    <row r="18" spans="1:16" ht="14.5">
      <c r="A18" s="325" t="s">
        <v>34</v>
      </c>
      <c r="B18" s="325" t="s">
        <v>29</v>
      </c>
      <c r="C18" s="5">
        <v>3</v>
      </c>
      <c r="D18" s="326">
        <f t="shared" si="0"/>
        <v>0.33333333333333331</v>
      </c>
    </row>
    <row r="19" spans="1:16" ht="14.5">
      <c r="A19" s="325" t="s">
        <v>35</v>
      </c>
      <c r="B19" s="325" t="s">
        <v>29</v>
      </c>
      <c r="C19" s="5">
        <v>3</v>
      </c>
      <c r="D19" s="326">
        <f t="shared" si="0"/>
        <v>0.33333333333333331</v>
      </c>
    </row>
    <row r="20" spans="1:16" ht="14.5">
      <c r="A20" s="325" t="s">
        <v>36</v>
      </c>
      <c r="B20" s="325" t="s">
        <v>29</v>
      </c>
      <c r="C20" s="5">
        <v>4</v>
      </c>
      <c r="D20" s="326">
        <f t="shared" si="0"/>
        <v>0.25</v>
      </c>
    </row>
    <row r="21" spans="1:16" ht="14.5">
      <c r="A21" s="325" t="s">
        <v>37</v>
      </c>
      <c r="B21" s="325" t="s">
        <v>29</v>
      </c>
      <c r="C21" s="5">
        <f>+C46</f>
        <v>8</v>
      </c>
      <c r="D21" s="326">
        <f t="shared" si="0"/>
        <v>0.125</v>
      </c>
    </row>
    <row r="22" spans="1:16" ht="14.5">
      <c r="A22" s="325" t="s">
        <v>38</v>
      </c>
      <c r="B22" s="325" t="s">
        <v>29</v>
      </c>
      <c r="C22" s="5">
        <f>+C45</f>
        <v>2</v>
      </c>
      <c r="D22" s="326">
        <f t="shared" si="0"/>
        <v>0.5</v>
      </c>
    </row>
    <row r="23" spans="1:16" ht="14.5">
      <c r="A23" s="325" t="s">
        <v>39</v>
      </c>
      <c r="B23" s="325" t="s">
        <v>29</v>
      </c>
      <c r="C23" s="5">
        <v>2</v>
      </c>
      <c r="D23" s="326">
        <f t="shared" si="0"/>
        <v>0.5</v>
      </c>
    </row>
    <row r="24" spans="1:16">
      <c r="A24" s="685" t="s">
        <v>40</v>
      </c>
      <c r="B24" s="685"/>
      <c r="C24" s="685"/>
      <c r="D24" s="327">
        <f>ROUND(SUM(D15:D23),2)</f>
        <v>2.99</v>
      </c>
    </row>
    <row r="27" spans="1:16">
      <c r="A27" s="686" t="s">
        <v>41</v>
      </c>
      <c r="B27" s="687"/>
      <c r="C27" s="687"/>
      <c r="D27" s="687"/>
      <c r="E27" s="687"/>
      <c r="F27" s="687"/>
      <c r="G27" s="687"/>
      <c r="H27" s="687"/>
      <c r="I27" s="687"/>
      <c r="J27" s="687"/>
      <c r="K27" s="687"/>
      <c r="L27" s="687"/>
      <c r="M27" s="687"/>
      <c r="N27" s="687"/>
      <c r="O27" s="687"/>
      <c r="P27" s="687"/>
    </row>
    <row r="28" spans="1:16">
      <c r="A28" s="7"/>
      <c r="B28" s="7"/>
      <c r="C28" s="7"/>
      <c r="D28" s="7"/>
      <c r="E28" s="682" t="s">
        <v>42</v>
      </c>
      <c r="F28" s="682"/>
      <c r="G28" s="682" t="s">
        <v>43</v>
      </c>
      <c r="H28" s="682"/>
      <c r="I28" s="682" t="s">
        <v>44</v>
      </c>
      <c r="J28" s="682"/>
      <c r="K28" s="682" t="s">
        <v>45</v>
      </c>
      <c r="L28" s="682"/>
      <c r="M28" s="682" t="s">
        <v>46</v>
      </c>
      <c r="N28" s="682"/>
      <c r="O28" s="682" t="s">
        <v>47</v>
      </c>
      <c r="P28" s="682"/>
    </row>
    <row r="29" spans="1:16">
      <c r="A29" s="8" t="s">
        <v>19</v>
      </c>
      <c r="B29" s="9" t="s">
        <v>20</v>
      </c>
      <c r="C29" s="9" t="s">
        <v>21</v>
      </c>
      <c r="D29" s="9" t="s">
        <v>27</v>
      </c>
      <c r="E29" s="8" t="s">
        <v>48</v>
      </c>
      <c r="F29" s="8" t="s">
        <v>49</v>
      </c>
      <c r="G29" s="8" t="s">
        <v>48</v>
      </c>
      <c r="H29" s="8" t="s">
        <v>49</v>
      </c>
      <c r="I29" s="8" t="s">
        <v>48</v>
      </c>
      <c r="J29" s="8" t="s">
        <v>49</v>
      </c>
      <c r="K29" s="8" t="s">
        <v>48</v>
      </c>
      <c r="L29" s="8" t="s">
        <v>49</v>
      </c>
      <c r="M29" s="8" t="s">
        <v>48</v>
      </c>
      <c r="N29" s="8" t="s">
        <v>49</v>
      </c>
      <c r="O29" s="8" t="s">
        <v>48</v>
      </c>
      <c r="P29" s="8" t="s">
        <v>49</v>
      </c>
    </row>
    <row r="30" spans="1:16" ht="14.5">
      <c r="A30" s="325" t="s">
        <v>50</v>
      </c>
      <c r="B30" s="325" t="s">
        <v>29</v>
      </c>
      <c r="C30" s="328">
        <v>9</v>
      </c>
      <c r="D30" s="329">
        <f>1/C30</f>
        <v>0.1111111111111111</v>
      </c>
      <c r="E30" s="330"/>
      <c r="F30" s="330">
        <f>+D30*E30</f>
        <v>0</v>
      </c>
      <c r="G30" s="330"/>
      <c r="H30" s="330"/>
      <c r="I30" s="330"/>
      <c r="J30" s="330"/>
      <c r="K30" s="330"/>
      <c r="L30" s="330"/>
      <c r="M30" s="330"/>
      <c r="N30" s="330"/>
      <c r="O30" s="330"/>
      <c r="P30" s="330"/>
    </row>
    <row r="31" spans="1:16" ht="14.5">
      <c r="A31" s="325" t="s">
        <v>51</v>
      </c>
      <c r="B31" s="325" t="s">
        <v>29</v>
      </c>
      <c r="C31" s="328">
        <v>9</v>
      </c>
      <c r="D31" s="329">
        <f t="shared" ref="D31:D58" si="1">1/C31</f>
        <v>0.1111111111111111</v>
      </c>
      <c r="E31" s="330"/>
      <c r="F31" s="330">
        <f t="shared" ref="F31:F58" si="2">+D31*E31</f>
        <v>0</v>
      </c>
      <c r="G31" s="330"/>
      <c r="H31" s="330"/>
      <c r="I31" s="330"/>
      <c r="J31" s="330"/>
      <c r="K31" s="330"/>
      <c r="L31" s="330"/>
      <c r="M31" s="330"/>
      <c r="N31" s="330"/>
      <c r="O31" s="330"/>
      <c r="P31" s="330"/>
    </row>
    <row r="32" spans="1:16" ht="14.5">
      <c r="A32" s="325" t="s">
        <v>52</v>
      </c>
      <c r="B32" s="325" t="s">
        <v>29</v>
      </c>
      <c r="C32" s="328">
        <v>2</v>
      </c>
      <c r="D32" s="329">
        <f t="shared" si="1"/>
        <v>0.5</v>
      </c>
      <c r="E32" s="330"/>
      <c r="F32" s="330">
        <f t="shared" si="2"/>
        <v>0</v>
      </c>
      <c r="G32" s="330"/>
      <c r="H32" s="330"/>
      <c r="I32" s="330"/>
      <c r="J32" s="330"/>
      <c r="K32" s="330"/>
      <c r="L32" s="330"/>
      <c r="M32" s="330"/>
      <c r="N32" s="330"/>
      <c r="O32" s="330"/>
      <c r="P32" s="330"/>
    </row>
    <row r="33" spans="1:16" ht="14.5">
      <c r="A33" s="325" t="s">
        <v>53</v>
      </c>
      <c r="B33" s="325" t="s">
        <v>29</v>
      </c>
      <c r="C33" s="328">
        <v>5</v>
      </c>
      <c r="D33" s="329">
        <f t="shared" si="1"/>
        <v>0.2</v>
      </c>
      <c r="E33" s="330"/>
      <c r="F33" s="330">
        <f t="shared" si="2"/>
        <v>0</v>
      </c>
      <c r="G33" s="330"/>
      <c r="H33" s="330"/>
      <c r="I33" s="330"/>
      <c r="J33" s="330"/>
      <c r="K33" s="330"/>
      <c r="L33" s="330"/>
      <c r="M33" s="330"/>
      <c r="N33" s="330"/>
      <c r="O33" s="330"/>
      <c r="P33" s="330"/>
    </row>
    <row r="34" spans="1:16" ht="14.5">
      <c r="A34" s="325" t="s">
        <v>54</v>
      </c>
      <c r="B34" s="325" t="s">
        <v>29</v>
      </c>
      <c r="C34" s="328">
        <v>1</v>
      </c>
      <c r="D34" s="329">
        <f t="shared" si="1"/>
        <v>1</v>
      </c>
      <c r="E34" s="330"/>
      <c r="F34" s="330">
        <f t="shared" si="2"/>
        <v>0</v>
      </c>
      <c r="G34" s="330"/>
      <c r="H34" s="330"/>
      <c r="I34" s="330"/>
      <c r="J34" s="330"/>
      <c r="K34" s="330"/>
      <c r="L34" s="330"/>
      <c r="M34" s="330"/>
      <c r="N34" s="330"/>
      <c r="O34" s="330"/>
      <c r="P34" s="330"/>
    </row>
    <row r="35" spans="1:16" ht="14.5">
      <c r="A35" s="325" t="s">
        <v>55</v>
      </c>
      <c r="B35" s="325" t="s">
        <v>29</v>
      </c>
      <c r="C35" s="328">
        <v>1</v>
      </c>
      <c r="D35" s="329">
        <f t="shared" si="1"/>
        <v>1</v>
      </c>
      <c r="E35" s="330"/>
      <c r="F35" s="330">
        <f t="shared" si="2"/>
        <v>0</v>
      </c>
      <c r="G35" s="330"/>
      <c r="H35" s="330"/>
      <c r="I35" s="330"/>
      <c r="J35" s="330"/>
      <c r="K35" s="330"/>
      <c r="L35" s="330"/>
      <c r="M35" s="330"/>
      <c r="N35" s="330"/>
      <c r="O35" s="330"/>
      <c r="P35" s="330"/>
    </row>
    <row r="36" spans="1:16" ht="14.5">
      <c r="A36" s="325" t="s">
        <v>56</v>
      </c>
      <c r="B36" s="325" t="s">
        <v>29</v>
      </c>
      <c r="C36" s="328">
        <v>2</v>
      </c>
      <c r="D36" s="329">
        <f t="shared" si="1"/>
        <v>0.5</v>
      </c>
      <c r="E36" s="330"/>
      <c r="F36" s="330">
        <f t="shared" si="2"/>
        <v>0</v>
      </c>
      <c r="G36" s="330"/>
      <c r="H36" s="330"/>
      <c r="I36" s="330"/>
      <c r="J36" s="330"/>
      <c r="K36" s="330"/>
      <c r="L36" s="330"/>
      <c r="M36" s="330"/>
      <c r="N36" s="330"/>
      <c r="O36" s="330"/>
      <c r="P36" s="330"/>
    </row>
    <row r="37" spans="1:16" ht="14.5">
      <c r="A37" s="325" t="s">
        <v>57</v>
      </c>
      <c r="B37" s="325" t="s">
        <v>29</v>
      </c>
      <c r="C37" s="328">
        <v>3</v>
      </c>
      <c r="D37" s="329">
        <f t="shared" si="1"/>
        <v>0.33333333333333331</v>
      </c>
      <c r="E37" s="330"/>
      <c r="F37" s="330">
        <f t="shared" si="2"/>
        <v>0</v>
      </c>
      <c r="G37" s="330"/>
      <c r="H37" s="330"/>
      <c r="I37" s="330"/>
      <c r="J37" s="330"/>
      <c r="K37" s="330"/>
      <c r="L37" s="330"/>
      <c r="M37" s="330"/>
      <c r="N37" s="330"/>
      <c r="O37" s="330"/>
      <c r="P37" s="330"/>
    </row>
    <row r="38" spans="1:16" ht="14.5">
      <c r="A38" s="325" t="s">
        <v>58</v>
      </c>
      <c r="B38" s="325" t="s">
        <v>29</v>
      </c>
      <c r="C38" s="328">
        <v>3</v>
      </c>
      <c r="D38" s="329">
        <f t="shared" si="1"/>
        <v>0.33333333333333331</v>
      </c>
      <c r="E38" s="330"/>
      <c r="F38" s="330">
        <f t="shared" si="2"/>
        <v>0</v>
      </c>
      <c r="G38" s="330"/>
      <c r="H38" s="330"/>
      <c r="I38" s="330"/>
      <c r="J38" s="330"/>
      <c r="K38" s="330"/>
      <c r="L38" s="330"/>
      <c r="M38" s="330"/>
      <c r="N38" s="330"/>
      <c r="O38" s="330"/>
      <c r="P38" s="330"/>
    </row>
    <row r="39" spans="1:16" ht="14.5">
      <c r="A39" s="331" t="s">
        <v>59</v>
      </c>
      <c r="B39" s="325" t="s">
        <v>29</v>
      </c>
      <c r="C39" s="328">
        <v>6</v>
      </c>
      <c r="D39" s="329">
        <f t="shared" si="1"/>
        <v>0.16666666666666666</v>
      </c>
      <c r="E39" s="330"/>
      <c r="F39" s="330">
        <f t="shared" si="2"/>
        <v>0</v>
      </c>
      <c r="G39" s="330"/>
      <c r="H39" s="330"/>
      <c r="I39" s="330"/>
      <c r="J39" s="330"/>
      <c r="K39" s="330"/>
      <c r="L39" s="330"/>
      <c r="M39" s="330"/>
      <c r="N39" s="330"/>
      <c r="O39" s="330"/>
      <c r="P39" s="330"/>
    </row>
    <row r="40" spans="1:16" ht="14.5">
      <c r="A40" s="325" t="s">
        <v>60</v>
      </c>
      <c r="B40" s="325" t="s">
        <v>61</v>
      </c>
      <c r="C40" s="328">
        <v>3</v>
      </c>
      <c r="D40" s="329">
        <f t="shared" si="1"/>
        <v>0.33333333333333331</v>
      </c>
      <c r="E40" s="330"/>
      <c r="F40" s="330">
        <f t="shared" si="2"/>
        <v>0</v>
      </c>
      <c r="G40" s="330"/>
      <c r="H40" s="330"/>
      <c r="I40" s="330"/>
      <c r="J40" s="330"/>
      <c r="K40" s="330"/>
      <c r="L40" s="330"/>
      <c r="M40" s="330"/>
      <c r="N40" s="330"/>
      <c r="O40" s="330"/>
      <c r="P40" s="330"/>
    </row>
    <row r="41" spans="1:16" ht="14.5">
      <c r="A41" s="325" t="s">
        <v>62</v>
      </c>
      <c r="B41" s="325" t="s">
        <v>29</v>
      </c>
      <c r="C41" s="328">
        <v>6</v>
      </c>
      <c r="D41" s="329">
        <f t="shared" si="1"/>
        <v>0.16666666666666666</v>
      </c>
      <c r="E41" s="330"/>
      <c r="F41" s="330">
        <f t="shared" si="2"/>
        <v>0</v>
      </c>
      <c r="G41" s="330"/>
      <c r="H41" s="330"/>
      <c r="I41" s="330"/>
      <c r="J41" s="330"/>
      <c r="K41" s="330"/>
      <c r="L41" s="330"/>
      <c r="M41" s="330"/>
      <c r="N41" s="330"/>
      <c r="O41" s="330"/>
      <c r="P41" s="330"/>
    </row>
    <row r="42" spans="1:16" ht="14.5">
      <c r="A42" s="325" t="s">
        <v>63</v>
      </c>
      <c r="B42" s="325" t="s">
        <v>29</v>
      </c>
      <c r="C42" s="328">
        <v>8</v>
      </c>
      <c r="D42" s="329">
        <f t="shared" si="1"/>
        <v>0.125</v>
      </c>
      <c r="E42" s="330"/>
      <c r="F42" s="330">
        <f t="shared" si="2"/>
        <v>0</v>
      </c>
      <c r="G42" s="330"/>
      <c r="H42" s="330"/>
      <c r="I42" s="330"/>
      <c r="J42" s="330"/>
      <c r="K42" s="330"/>
      <c r="L42" s="330"/>
      <c r="M42" s="330"/>
      <c r="N42" s="330"/>
      <c r="O42" s="330"/>
      <c r="P42" s="330"/>
    </row>
    <row r="43" spans="1:16" ht="14.5">
      <c r="A43" s="325" t="s">
        <v>64</v>
      </c>
      <c r="B43" s="325" t="s">
        <v>29</v>
      </c>
      <c r="C43" s="328">
        <v>2</v>
      </c>
      <c r="D43" s="329">
        <f t="shared" si="1"/>
        <v>0.5</v>
      </c>
      <c r="E43" s="330"/>
      <c r="F43" s="330">
        <f t="shared" si="2"/>
        <v>0</v>
      </c>
      <c r="G43" s="330"/>
      <c r="H43" s="330"/>
      <c r="I43" s="330"/>
      <c r="J43" s="330"/>
      <c r="K43" s="330"/>
      <c r="L43" s="330"/>
      <c r="M43" s="330"/>
      <c r="N43" s="330"/>
      <c r="O43" s="330"/>
      <c r="P43" s="330"/>
    </row>
    <row r="44" spans="1:16" ht="14.5">
      <c r="A44" s="325" t="s">
        <v>65</v>
      </c>
      <c r="B44" s="325" t="s">
        <v>29</v>
      </c>
      <c r="C44" s="328">
        <v>4</v>
      </c>
      <c r="D44" s="329">
        <f t="shared" si="1"/>
        <v>0.25</v>
      </c>
      <c r="E44" s="330"/>
      <c r="F44" s="330">
        <f t="shared" si="2"/>
        <v>0</v>
      </c>
      <c r="G44" s="330"/>
      <c r="H44" s="330"/>
      <c r="I44" s="330"/>
      <c r="J44" s="330"/>
      <c r="K44" s="330"/>
      <c r="L44" s="330"/>
      <c r="M44" s="330"/>
      <c r="N44" s="330"/>
      <c r="O44" s="330"/>
      <c r="P44" s="330"/>
    </row>
    <row r="45" spans="1:16" ht="14.5">
      <c r="A45" s="325" t="s">
        <v>66</v>
      </c>
      <c r="B45" s="325" t="s">
        <v>29</v>
      </c>
      <c r="C45" s="328">
        <v>2</v>
      </c>
      <c r="D45" s="329">
        <f t="shared" si="1"/>
        <v>0.5</v>
      </c>
      <c r="E45" s="330"/>
      <c r="F45" s="330">
        <f t="shared" si="2"/>
        <v>0</v>
      </c>
      <c r="G45" s="330"/>
      <c r="H45" s="330"/>
      <c r="I45" s="330"/>
      <c r="J45" s="330"/>
      <c r="K45" s="330"/>
      <c r="L45" s="330"/>
      <c r="M45" s="330"/>
      <c r="N45" s="330"/>
      <c r="O45" s="330"/>
      <c r="P45" s="330"/>
    </row>
    <row r="46" spans="1:16" ht="14.5">
      <c r="A46" s="325" t="s">
        <v>67</v>
      </c>
      <c r="B46" s="325" t="s">
        <v>29</v>
      </c>
      <c r="C46" s="328">
        <v>8</v>
      </c>
      <c r="D46" s="329">
        <f t="shared" si="1"/>
        <v>0.125</v>
      </c>
      <c r="E46" s="330"/>
      <c r="F46" s="330">
        <f t="shared" si="2"/>
        <v>0</v>
      </c>
      <c r="G46" s="330"/>
      <c r="H46" s="330"/>
      <c r="I46" s="330"/>
      <c r="J46" s="330"/>
      <c r="K46" s="330"/>
      <c r="L46" s="330"/>
      <c r="M46" s="330"/>
      <c r="N46" s="330"/>
      <c r="O46" s="330"/>
      <c r="P46" s="330"/>
    </row>
    <row r="47" spans="1:16" ht="14.5">
      <c r="A47" s="325" t="s">
        <v>68</v>
      </c>
      <c r="B47" s="325" t="s">
        <v>69</v>
      </c>
      <c r="C47" s="328">
        <v>12</v>
      </c>
      <c r="D47" s="329">
        <f t="shared" si="1"/>
        <v>8.3333333333333329E-2</v>
      </c>
      <c r="E47" s="330"/>
      <c r="F47" s="330">
        <f t="shared" si="2"/>
        <v>0</v>
      </c>
      <c r="G47" s="330"/>
      <c r="H47" s="330"/>
      <c r="I47" s="330"/>
      <c r="J47" s="330"/>
      <c r="K47" s="330"/>
      <c r="L47" s="330"/>
      <c r="M47" s="330"/>
      <c r="N47" s="330"/>
      <c r="O47" s="330"/>
      <c r="P47" s="330"/>
    </row>
    <row r="48" spans="1:16" ht="14.5">
      <c r="A48" s="325" t="s">
        <v>70</v>
      </c>
      <c r="B48" s="325" t="s">
        <v>29</v>
      </c>
      <c r="C48" s="328">
        <v>3</v>
      </c>
      <c r="D48" s="329">
        <f t="shared" si="1"/>
        <v>0.33333333333333331</v>
      </c>
      <c r="E48" s="330"/>
      <c r="F48" s="330">
        <f t="shared" si="2"/>
        <v>0</v>
      </c>
      <c r="G48" s="330"/>
      <c r="H48" s="330"/>
      <c r="I48" s="330"/>
      <c r="J48" s="330"/>
      <c r="K48" s="330"/>
      <c r="L48" s="330"/>
      <c r="M48" s="330"/>
      <c r="N48" s="330"/>
      <c r="O48" s="330"/>
      <c r="P48" s="330"/>
    </row>
    <row r="49" spans="1:16" ht="14.5">
      <c r="A49" s="325" t="s">
        <v>71</v>
      </c>
      <c r="B49" s="325" t="s">
        <v>29</v>
      </c>
      <c r="C49" s="328">
        <v>2</v>
      </c>
      <c r="D49" s="329">
        <f t="shared" si="1"/>
        <v>0.5</v>
      </c>
      <c r="E49" s="330"/>
      <c r="F49" s="330">
        <f t="shared" si="2"/>
        <v>0</v>
      </c>
      <c r="G49" s="330"/>
      <c r="H49" s="330"/>
      <c r="I49" s="330"/>
      <c r="J49" s="330"/>
      <c r="K49" s="330"/>
      <c r="L49" s="330"/>
      <c r="M49" s="330"/>
      <c r="N49" s="330"/>
      <c r="O49" s="330"/>
      <c r="P49" s="330"/>
    </row>
    <row r="50" spans="1:16" ht="14.5">
      <c r="A50" s="325" t="s">
        <v>72</v>
      </c>
      <c r="B50" s="325" t="s">
        <v>29</v>
      </c>
      <c r="C50" s="328">
        <v>3</v>
      </c>
      <c r="D50" s="329">
        <f t="shared" si="1"/>
        <v>0.33333333333333331</v>
      </c>
      <c r="E50" s="330"/>
      <c r="F50" s="330">
        <f t="shared" si="2"/>
        <v>0</v>
      </c>
      <c r="G50" s="330"/>
      <c r="H50" s="330"/>
      <c r="I50" s="330"/>
      <c r="J50" s="330"/>
      <c r="K50" s="330"/>
      <c r="L50" s="330"/>
      <c r="M50" s="330"/>
      <c r="N50" s="330"/>
      <c r="O50" s="330"/>
      <c r="P50" s="330"/>
    </row>
    <row r="51" spans="1:16" ht="14.5">
      <c r="A51" s="325" t="s">
        <v>73</v>
      </c>
      <c r="B51" s="325" t="s">
        <v>74</v>
      </c>
      <c r="C51" s="328">
        <v>5</v>
      </c>
      <c r="D51" s="329">
        <f t="shared" si="1"/>
        <v>0.2</v>
      </c>
      <c r="E51" s="330"/>
      <c r="F51" s="330">
        <f t="shared" si="2"/>
        <v>0</v>
      </c>
      <c r="G51" s="330"/>
      <c r="H51" s="330"/>
      <c r="I51" s="330"/>
      <c r="J51" s="330"/>
      <c r="K51" s="330"/>
      <c r="L51" s="330"/>
      <c r="M51" s="330"/>
      <c r="N51" s="330"/>
      <c r="O51" s="330"/>
      <c r="P51" s="330"/>
    </row>
    <row r="52" spans="1:16" ht="14.5">
      <c r="A52" s="325" t="s">
        <v>75</v>
      </c>
      <c r="B52" s="325" t="s">
        <v>69</v>
      </c>
      <c r="C52" s="328">
        <v>4</v>
      </c>
      <c r="D52" s="329">
        <f t="shared" si="1"/>
        <v>0.25</v>
      </c>
      <c r="E52" s="330"/>
      <c r="F52" s="330">
        <f t="shared" si="2"/>
        <v>0</v>
      </c>
      <c r="G52" s="330"/>
      <c r="H52" s="330"/>
      <c r="I52" s="330"/>
      <c r="J52" s="330"/>
      <c r="K52" s="330"/>
      <c r="L52" s="330"/>
      <c r="M52" s="330"/>
      <c r="N52" s="330"/>
      <c r="O52" s="330"/>
      <c r="P52" s="330"/>
    </row>
    <row r="53" spans="1:16" ht="14.5">
      <c r="A53" s="325" t="s">
        <v>76</v>
      </c>
      <c r="B53" s="325" t="s">
        <v>74</v>
      </c>
      <c r="C53" s="328">
        <v>50</v>
      </c>
      <c r="D53" s="329">
        <f t="shared" si="1"/>
        <v>0.02</v>
      </c>
      <c r="E53" s="330"/>
      <c r="F53" s="330">
        <f t="shared" si="2"/>
        <v>0</v>
      </c>
      <c r="G53" s="330"/>
      <c r="H53" s="330"/>
      <c r="I53" s="330"/>
      <c r="J53" s="330"/>
      <c r="K53" s="330"/>
      <c r="L53" s="330"/>
      <c r="M53" s="330"/>
      <c r="N53" s="330"/>
      <c r="O53" s="330"/>
      <c r="P53" s="330"/>
    </row>
    <row r="54" spans="1:16" ht="14.5">
      <c r="A54" s="325" t="s">
        <v>77</v>
      </c>
      <c r="B54" s="325" t="s">
        <v>74</v>
      </c>
      <c r="C54" s="328">
        <v>8</v>
      </c>
      <c r="D54" s="329">
        <f t="shared" si="1"/>
        <v>0.125</v>
      </c>
      <c r="E54" s="330"/>
      <c r="F54" s="330">
        <f t="shared" si="2"/>
        <v>0</v>
      </c>
      <c r="G54" s="330"/>
      <c r="H54" s="330"/>
      <c r="I54" s="330"/>
      <c r="J54" s="330"/>
      <c r="K54" s="330"/>
      <c r="L54" s="330"/>
      <c r="M54" s="330"/>
      <c r="N54" s="330"/>
      <c r="O54" s="330"/>
      <c r="P54" s="330"/>
    </row>
    <row r="55" spans="1:16" ht="14.5">
      <c r="A55" s="325" t="s">
        <v>78</v>
      </c>
      <c r="B55" s="325" t="s">
        <v>74</v>
      </c>
      <c r="C55" s="328">
        <v>8</v>
      </c>
      <c r="D55" s="329">
        <f t="shared" si="1"/>
        <v>0.125</v>
      </c>
      <c r="E55" s="330"/>
      <c r="F55" s="330">
        <f t="shared" si="2"/>
        <v>0</v>
      </c>
      <c r="G55" s="330"/>
      <c r="H55" s="330"/>
      <c r="I55" s="330"/>
      <c r="J55" s="330"/>
      <c r="K55" s="330"/>
      <c r="L55" s="330"/>
      <c r="M55" s="330"/>
      <c r="N55" s="330"/>
      <c r="O55" s="330"/>
      <c r="P55" s="330"/>
    </row>
    <row r="56" spans="1:16" ht="14.5">
      <c r="A56" s="325" t="s">
        <v>79</v>
      </c>
      <c r="B56" s="325" t="s">
        <v>80</v>
      </c>
      <c r="C56" s="328">
        <v>250</v>
      </c>
      <c r="D56" s="329">
        <f t="shared" si="1"/>
        <v>4.0000000000000001E-3</v>
      </c>
      <c r="E56" s="330"/>
      <c r="F56" s="330">
        <f t="shared" si="2"/>
        <v>0</v>
      </c>
      <c r="G56" s="330"/>
      <c r="H56" s="330"/>
      <c r="I56" s="330"/>
      <c r="J56" s="330"/>
      <c r="K56" s="330"/>
      <c r="L56" s="330"/>
      <c r="M56" s="330"/>
      <c r="N56" s="330"/>
      <c r="O56" s="330"/>
      <c r="P56" s="330"/>
    </row>
    <row r="57" spans="1:16" ht="14.5">
      <c r="A57" s="325" t="s">
        <v>81</v>
      </c>
      <c r="B57" s="325" t="s">
        <v>29</v>
      </c>
      <c r="C57" s="328">
        <v>1</v>
      </c>
      <c r="D57" s="329">
        <f t="shared" si="1"/>
        <v>1</v>
      </c>
      <c r="E57" s="330"/>
      <c r="F57" s="330">
        <f t="shared" si="2"/>
        <v>0</v>
      </c>
      <c r="G57" s="330"/>
      <c r="H57" s="330"/>
      <c r="I57" s="330"/>
      <c r="J57" s="330"/>
      <c r="K57" s="330"/>
      <c r="L57" s="330"/>
      <c r="M57" s="330"/>
      <c r="N57" s="330"/>
      <c r="O57" s="330"/>
      <c r="P57" s="330"/>
    </row>
    <row r="58" spans="1:16" ht="14.5">
      <c r="A58" s="325" t="s">
        <v>82</v>
      </c>
      <c r="B58" s="325" t="s">
        <v>80</v>
      </c>
      <c r="C58" s="328">
        <v>40</v>
      </c>
      <c r="D58" s="329">
        <f t="shared" si="1"/>
        <v>2.5000000000000001E-2</v>
      </c>
      <c r="E58" s="330"/>
      <c r="F58" s="330">
        <f t="shared" si="2"/>
        <v>0</v>
      </c>
      <c r="G58" s="330"/>
      <c r="H58" s="330"/>
      <c r="I58" s="330"/>
      <c r="J58" s="330"/>
      <c r="K58" s="330"/>
      <c r="L58" s="330"/>
      <c r="M58" s="330"/>
      <c r="N58" s="330"/>
      <c r="O58" s="330"/>
      <c r="P58" s="330"/>
    </row>
    <row r="59" spans="1:16" ht="14.5">
      <c r="A59" s="325"/>
      <c r="B59" s="325"/>
      <c r="C59" s="328"/>
      <c r="D59" s="329"/>
      <c r="E59" s="330"/>
      <c r="F59" s="330"/>
      <c r="G59" s="330"/>
      <c r="H59" s="330"/>
      <c r="I59" s="330"/>
      <c r="J59" s="330"/>
      <c r="K59" s="330"/>
      <c r="L59" s="330"/>
      <c r="M59" s="330"/>
      <c r="N59" s="330"/>
      <c r="O59" s="330"/>
      <c r="P59" s="330"/>
    </row>
    <row r="60" spans="1:16" ht="14.5">
      <c r="A60" s="325"/>
      <c r="B60" s="325"/>
      <c r="C60" s="328"/>
      <c r="D60" s="329"/>
      <c r="E60" s="330"/>
      <c r="F60" s="330"/>
      <c r="G60" s="330"/>
      <c r="H60" s="330"/>
      <c r="I60" s="330"/>
      <c r="J60" s="330"/>
      <c r="K60" s="330"/>
      <c r="L60" s="330"/>
      <c r="M60" s="330"/>
      <c r="N60" s="330"/>
      <c r="O60" s="330"/>
      <c r="P60" s="330"/>
    </row>
    <row r="61" spans="1:16" ht="14.5">
      <c r="A61" s="325"/>
      <c r="B61" s="325"/>
      <c r="C61" s="328"/>
      <c r="D61" s="329"/>
      <c r="E61" s="330"/>
      <c r="F61" s="330"/>
      <c r="G61" s="330"/>
      <c r="H61" s="330"/>
      <c r="I61" s="330"/>
      <c r="J61" s="330"/>
      <c r="K61" s="330"/>
      <c r="L61" s="330"/>
      <c r="M61" s="330"/>
      <c r="N61" s="330"/>
      <c r="O61" s="330"/>
      <c r="P61" s="330"/>
    </row>
    <row r="62" spans="1:16" ht="12" customHeight="1">
      <c r="A62" s="325" t="s">
        <v>83</v>
      </c>
      <c r="B62" s="249"/>
      <c r="C62" s="249"/>
      <c r="D62" s="249"/>
      <c r="E62" s="330"/>
      <c r="F62" s="330"/>
      <c r="G62" s="330"/>
      <c r="H62" s="330"/>
      <c r="I62" s="330"/>
      <c r="J62" s="330"/>
      <c r="K62" s="330"/>
      <c r="L62" s="330"/>
      <c r="M62" s="330"/>
      <c r="N62" s="330"/>
      <c r="O62" s="330"/>
      <c r="P62" s="330"/>
    </row>
    <row r="63" spans="1:16">
      <c r="A63" s="325" t="s">
        <v>84</v>
      </c>
      <c r="B63" s="249"/>
      <c r="C63" s="249"/>
      <c r="D63" s="249"/>
      <c r="E63" s="330"/>
      <c r="F63" s="330"/>
      <c r="G63" s="330"/>
      <c r="H63" s="330"/>
      <c r="I63" s="330"/>
      <c r="J63" s="330"/>
      <c r="K63" s="330"/>
      <c r="L63" s="330"/>
      <c r="M63" s="330"/>
      <c r="N63" s="330"/>
      <c r="O63" s="330"/>
      <c r="P63" s="330"/>
    </row>
    <row r="68" spans="1:1" ht="13">
      <c r="A68" s="137"/>
    </row>
    <row r="69" spans="1:1" ht="13">
      <c r="A69" s="138"/>
    </row>
  </sheetData>
  <mergeCells count="12">
    <mergeCell ref="O28:P28"/>
    <mergeCell ref="A1:C2"/>
    <mergeCell ref="A4:C4"/>
    <mergeCell ref="A5:C5"/>
    <mergeCell ref="A11:D11"/>
    <mergeCell ref="A24:C24"/>
    <mergeCell ref="A27:P27"/>
    <mergeCell ref="E28:F28"/>
    <mergeCell ref="G28:H28"/>
    <mergeCell ref="I28:J28"/>
    <mergeCell ref="K28:L28"/>
    <mergeCell ref="M28:N28"/>
  </mergeCells>
  <pageMargins left="0.70866141732283472" right="0.70866141732283472" top="0.74803149606299213" bottom="0.74803149606299213" header="0.31496062992125984" footer="0.31496062992125984"/>
  <pageSetup scale="53" fitToHeight="2" orientation="landscape" r:id="rId1"/>
  <legacy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B004-7C1D-4943-81AC-08D56F978F4F}">
  <sheetPr codeName="Hoja3">
    <tabColor theme="4" tint="0.59999389629810485"/>
  </sheetPr>
  <dimension ref="A2:F19"/>
  <sheetViews>
    <sheetView view="pageBreakPreview" zoomScale="60" zoomScaleNormal="120" workbookViewId="0">
      <selection activeCell="D4" sqref="D4:D13"/>
    </sheetView>
  </sheetViews>
  <sheetFormatPr baseColWidth="10" defaultColWidth="11.453125" defaultRowHeight="12.5"/>
  <cols>
    <col min="1" max="1" width="6.1796875" customWidth="1"/>
    <col min="2" max="2" width="36.7265625" customWidth="1"/>
    <col min="3" max="3" width="14.81640625" customWidth="1"/>
    <col min="4" max="4" width="12.1796875" customWidth="1"/>
    <col min="5" max="5" width="83.7265625" customWidth="1"/>
    <col min="6" max="6" width="16.1796875" customWidth="1"/>
  </cols>
  <sheetData>
    <row r="2" spans="1:6" ht="13">
      <c r="A2" s="688" t="s">
        <v>85</v>
      </c>
      <c r="B2" s="688"/>
      <c r="C2" s="688"/>
      <c r="D2" s="688"/>
      <c r="E2" s="688"/>
      <c r="F2" s="689"/>
    </row>
    <row r="3" spans="1:6" ht="13">
      <c r="A3" s="92" t="s">
        <v>86</v>
      </c>
      <c r="B3" s="93" t="s">
        <v>19</v>
      </c>
      <c r="C3" s="93" t="s">
        <v>87</v>
      </c>
      <c r="D3" s="93" t="s">
        <v>88</v>
      </c>
      <c r="E3" s="94" t="s">
        <v>89</v>
      </c>
      <c r="F3" s="95" t="s">
        <v>90</v>
      </c>
    </row>
    <row r="4" spans="1:6" ht="13">
      <c r="A4" s="90">
        <v>1</v>
      </c>
      <c r="B4" s="10" t="s">
        <v>91</v>
      </c>
      <c r="C4" s="10" t="s">
        <v>92</v>
      </c>
      <c r="D4" s="11"/>
      <c r="E4" s="12" t="s">
        <v>93</v>
      </c>
      <c r="F4" s="91">
        <v>45658</v>
      </c>
    </row>
    <row r="5" spans="1:6" ht="13">
      <c r="A5" s="90">
        <v>2</v>
      </c>
      <c r="B5" s="10" t="s">
        <v>94</v>
      </c>
      <c r="C5" s="10" t="s">
        <v>92</v>
      </c>
      <c r="D5" s="13"/>
      <c r="E5" s="14" t="s">
        <v>95</v>
      </c>
      <c r="F5" s="91">
        <f>+F4</f>
        <v>45658</v>
      </c>
    </row>
    <row r="6" spans="1:6" ht="13">
      <c r="A6" s="90">
        <v>3</v>
      </c>
      <c r="B6" s="10" t="s">
        <v>96</v>
      </c>
      <c r="C6" s="10" t="s">
        <v>92</v>
      </c>
      <c r="D6" s="13"/>
      <c r="E6" s="15" t="s">
        <v>97</v>
      </c>
      <c r="F6" s="91">
        <f>+F5</f>
        <v>45658</v>
      </c>
    </row>
    <row r="7" spans="1:6" ht="13">
      <c r="A7" s="96">
        <v>4</v>
      </c>
      <c r="B7" s="97" t="s">
        <v>98</v>
      </c>
      <c r="C7" s="97" t="s">
        <v>99</v>
      </c>
      <c r="D7" s="98"/>
      <c r="E7" s="99" t="s">
        <v>93</v>
      </c>
      <c r="F7" s="100">
        <f>+F5</f>
        <v>45658</v>
      </c>
    </row>
    <row r="8" spans="1:6" ht="13">
      <c r="A8" s="90">
        <v>6</v>
      </c>
      <c r="B8" s="10" t="s">
        <v>100</v>
      </c>
      <c r="C8" s="97" t="s">
        <v>99</v>
      </c>
      <c r="D8" s="13"/>
      <c r="E8" s="191" t="s">
        <v>101</v>
      </c>
      <c r="F8" s="91">
        <f>+F7</f>
        <v>45658</v>
      </c>
    </row>
    <row r="9" spans="1:6" ht="13">
      <c r="A9" s="90">
        <v>7</v>
      </c>
      <c r="B9" s="10" t="s">
        <v>102</v>
      </c>
      <c r="C9" s="10" t="s">
        <v>103</v>
      </c>
      <c r="D9" s="13"/>
      <c r="E9" s="191" t="s">
        <v>104</v>
      </c>
      <c r="F9" s="91">
        <v>45748</v>
      </c>
    </row>
    <row r="10" spans="1:6" ht="13">
      <c r="A10" s="90">
        <v>8</v>
      </c>
      <c r="B10" s="10" t="s">
        <v>105</v>
      </c>
      <c r="C10" s="10" t="s">
        <v>103</v>
      </c>
      <c r="D10" s="13"/>
      <c r="E10" s="193" t="s">
        <v>106</v>
      </c>
      <c r="F10" s="91">
        <v>45748</v>
      </c>
    </row>
    <row r="11" spans="1:6" ht="13">
      <c r="A11" s="90">
        <v>9</v>
      </c>
      <c r="B11" s="10" t="s">
        <v>107</v>
      </c>
      <c r="C11" s="10" t="s">
        <v>103</v>
      </c>
      <c r="D11" s="13"/>
      <c r="E11" s="193" t="s">
        <v>108</v>
      </c>
      <c r="F11" s="91">
        <f>+F10</f>
        <v>45748</v>
      </c>
    </row>
    <row r="12" spans="1:6" ht="13">
      <c r="A12" s="90">
        <v>10</v>
      </c>
      <c r="B12" s="10" t="s">
        <v>109</v>
      </c>
      <c r="C12" s="10" t="s">
        <v>103</v>
      </c>
      <c r="D12" s="13"/>
      <c r="E12" s="193" t="s">
        <v>110</v>
      </c>
      <c r="F12" s="91">
        <f>+F11</f>
        <v>45748</v>
      </c>
    </row>
    <row r="13" spans="1:6" ht="13">
      <c r="A13" s="96">
        <v>5</v>
      </c>
      <c r="B13" s="97" t="s">
        <v>111</v>
      </c>
      <c r="C13" s="97" t="s">
        <v>103</v>
      </c>
      <c r="D13" s="98"/>
      <c r="E13" s="99" t="s">
        <v>93</v>
      </c>
      <c r="F13" s="100">
        <f>+F6</f>
        <v>45658</v>
      </c>
    </row>
    <row r="18" spans="2:2">
      <c r="B18" s="139"/>
    </row>
    <row r="19" spans="2:2">
      <c r="B19" s="140"/>
    </row>
  </sheetData>
  <mergeCells count="1">
    <mergeCell ref="A2:F2"/>
  </mergeCells>
  <hyperlinks>
    <hyperlink ref="E5" r:id="rId1" xr:uid="{A549BDB9-F7FB-485F-A0FF-E5C494E20A6C}"/>
    <hyperlink ref="E6" r:id="rId2" xr:uid="{7B4F7A7D-CE5B-425C-8343-D4276A632D92}"/>
    <hyperlink ref="E8" r:id="rId3" xr:uid="{BD2863E9-7B85-4359-9F77-47FB2F47BEC6}"/>
    <hyperlink ref="E9" r:id="rId4" xr:uid="{4FF261DD-DB40-4928-9959-5FC0DD2CC9A9}"/>
    <hyperlink ref="E10" r:id="rId5" xr:uid="{63C82A93-B4CA-41EC-A6B0-30C2639EC8B7}"/>
    <hyperlink ref="E11" r:id="rId6" xr:uid="{DA1D62AE-B3AC-478B-975C-2FF8D6B550A0}"/>
    <hyperlink ref="E12" r:id="rId7" xr:uid="{0EBA0D84-BC39-4B33-8A8E-48572C7BA1D1}"/>
  </hyperlinks>
  <pageMargins left="0.7" right="0.7" top="0.75" bottom="0.75" header="0.3" footer="0.3"/>
  <pageSetup scale="73" orientation="landscape" r:id="rId8"/>
  <tableParts count="1">
    <tablePart r:id="rId9"/>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67A8-65CA-429C-82EC-C990ED2A88E2}">
  <sheetPr codeName="Hoja5">
    <tabColor theme="6" tint="0.59999389629810485"/>
    <pageSetUpPr fitToPage="1"/>
  </sheetPr>
  <dimension ref="A2:K39"/>
  <sheetViews>
    <sheetView view="pageBreakPreview" topLeftCell="C10" zoomScale="80" zoomScaleNormal="90" zoomScaleSheetLayoutView="80" workbookViewId="0">
      <selection activeCell="C7" sqref="C7"/>
    </sheetView>
  </sheetViews>
  <sheetFormatPr baseColWidth="10" defaultColWidth="11.453125" defaultRowHeight="12.5"/>
  <cols>
    <col min="1" max="1" width="8.54296875" customWidth="1"/>
    <col min="2" max="2" width="29.81640625" bestFit="1" customWidth="1"/>
    <col min="3" max="3" width="20.26953125" customWidth="1"/>
    <col min="4" max="4" width="19" customWidth="1"/>
    <col min="5" max="5" width="21.453125" customWidth="1"/>
    <col min="6" max="7" width="15.81640625" customWidth="1"/>
    <col min="8" max="8" width="16.7265625" bestFit="1" customWidth="1"/>
    <col min="9" max="9" width="57" bestFit="1" customWidth="1"/>
    <col min="10" max="10" width="21.54296875" customWidth="1"/>
  </cols>
  <sheetData>
    <row r="2" spans="1:11" ht="23.5" customHeight="1">
      <c r="A2" s="690" t="str">
        <f>+'PRES GENERAL MR'!$A$1</f>
        <v>IMPLEMENTACIÓN DE SOLUCIONES ENERGÉTICAS SOSTENIBLES CON FUENTES NO CONVENCIONALES, PARA LAS COMUNIDADES RURALES DEL MUNICIPIO DE PLATO, DEPARTAMENTO MAGDALENA.</v>
      </c>
      <c r="B2" s="690"/>
      <c r="C2" s="690"/>
      <c r="D2" s="690"/>
      <c r="E2" s="690"/>
      <c r="F2" s="690"/>
      <c r="G2" s="690"/>
      <c r="H2" s="690"/>
      <c r="I2" s="690"/>
      <c r="J2" s="690"/>
      <c r="K2" s="3"/>
    </row>
    <row r="5" spans="1:11">
      <c r="B5" s="325" t="s">
        <v>196</v>
      </c>
      <c r="C5" s="346"/>
      <c r="D5" s="325" t="s">
        <v>197</v>
      </c>
    </row>
    <row r="6" spans="1:11" ht="14.5">
      <c r="B6" s="325" t="s">
        <v>198</v>
      </c>
      <c r="C6" s="347"/>
      <c r="D6" s="325" t="s">
        <v>197</v>
      </c>
    </row>
    <row r="7" spans="1:11" ht="14.5">
      <c r="B7" s="325" t="s">
        <v>199</v>
      </c>
      <c r="C7" s="348"/>
    </row>
    <row r="8" spans="1:11">
      <c r="B8" s="349" t="s">
        <v>200</v>
      </c>
      <c r="C8" s="329">
        <f>ROUND((365-70)/12,2)</f>
        <v>24.58</v>
      </c>
      <c r="D8" s="17"/>
    </row>
    <row r="11" spans="1:11" ht="13">
      <c r="A11" s="691" t="s">
        <v>201</v>
      </c>
      <c r="B11" s="691"/>
      <c r="C11" s="691"/>
      <c r="D11" s="691"/>
      <c r="E11" s="691"/>
      <c r="F11" s="691"/>
      <c r="G11" s="691"/>
      <c r="H11" s="691"/>
      <c r="I11" s="691"/>
      <c r="J11" s="691"/>
    </row>
    <row r="12" spans="1:11" ht="27.65" customHeight="1">
      <c r="A12" s="350" t="s">
        <v>138</v>
      </c>
      <c r="B12" s="350" t="s">
        <v>202</v>
      </c>
      <c r="C12" s="350" t="s">
        <v>203</v>
      </c>
      <c r="D12" s="350" t="s">
        <v>204</v>
      </c>
      <c r="E12" s="350" t="s">
        <v>198</v>
      </c>
      <c r="F12" s="350" t="s">
        <v>205</v>
      </c>
      <c r="G12" s="351" t="s">
        <v>206</v>
      </c>
      <c r="H12" s="350" t="s">
        <v>207</v>
      </c>
      <c r="I12" s="350" t="s">
        <v>89</v>
      </c>
      <c r="J12" s="350" t="s">
        <v>90</v>
      </c>
      <c r="K12" s="180" t="s">
        <v>208</v>
      </c>
    </row>
    <row r="13" spans="1:11" ht="14.5">
      <c r="A13" s="249">
        <v>1</v>
      </c>
      <c r="B13" s="249" t="s">
        <v>209</v>
      </c>
      <c r="C13" s="249" t="s">
        <v>210</v>
      </c>
      <c r="D13" s="178"/>
      <c r="E13" s="352">
        <f>IF(G13&gt;2*$C$5,0,$C$6)</f>
        <v>0</v>
      </c>
      <c r="F13" s="353">
        <f t="shared" ref="F13:F31" si="0">$C$7</f>
        <v>0</v>
      </c>
      <c r="G13" s="354">
        <f>+ManoObra[[#This Row],[Valor mensual base]]*(1+ManoObra[[#This Row],[Margen positivo]])</f>
        <v>0</v>
      </c>
      <c r="H13" s="352">
        <f t="shared" ref="H13:H33" si="1">ROUND((D13+E13)/$C$8*(1+F13),0)</f>
        <v>0</v>
      </c>
      <c r="I13" s="355" t="s">
        <v>211</v>
      </c>
      <c r="J13" s="356">
        <v>45689</v>
      </c>
      <c r="K13" s="249" t="str">
        <f>+IF(ManoObra[[#This Row],[Valor mensual base]]&gt;=$C$5,"ok","&lt;SMMLV")</f>
        <v>ok</v>
      </c>
    </row>
    <row r="14" spans="1:11" ht="14.5">
      <c r="A14" s="249">
        <v>2</v>
      </c>
      <c r="B14" s="249" t="s">
        <v>212</v>
      </c>
      <c r="C14" s="249" t="s">
        <v>210</v>
      </c>
      <c r="D14" s="354"/>
      <c r="E14" s="352">
        <f t="shared" ref="E14:E33" si="2">IF(G14&gt;2*$C$5,0,$C$6)</f>
        <v>0</v>
      </c>
      <c r="F14" s="353">
        <f t="shared" si="0"/>
        <v>0</v>
      </c>
      <c r="G14" s="354">
        <f>+ManoObra[[#This Row],[Valor mensual base]]*(1+ManoObra[[#This Row],[Margen positivo]])</f>
        <v>0</v>
      </c>
      <c r="H14" s="352">
        <f t="shared" si="1"/>
        <v>0</v>
      </c>
      <c r="I14" s="355" t="s">
        <v>213</v>
      </c>
      <c r="J14" s="356">
        <f>+J13</f>
        <v>45689</v>
      </c>
      <c r="K14" s="249" t="str">
        <f>+IF(ManoObra[[#This Row],[Valor mensual base]]&gt;=$C$5,"ok","&lt;SMMLV")</f>
        <v>ok</v>
      </c>
    </row>
    <row r="15" spans="1:11" ht="14.5">
      <c r="A15" s="249">
        <v>3</v>
      </c>
      <c r="B15" s="249" t="s">
        <v>214</v>
      </c>
      <c r="C15" s="249" t="s">
        <v>210</v>
      </c>
      <c r="D15" s="354"/>
      <c r="E15" s="352">
        <f t="shared" si="2"/>
        <v>0</v>
      </c>
      <c r="F15" s="353">
        <f t="shared" si="0"/>
        <v>0</v>
      </c>
      <c r="G15" s="354">
        <f>+ManoObra[[#This Row],[Valor mensual base]]*(1+ManoObra[[#This Row],[Margen positivo]])</f>
        <v>0</v>
      </c>
      <c r="H15" s="352">
        <f t="shared" si="1"/>
        <v>0</v>
      </c>
      <c r="I15" s="355" t="s">
        <v>215</v>
      </c>
      <c r="J15" s="356">
        <f t="shared" ref="J15:J32" si="3">+J14</f>
        <v>45689</v>
      </c>
      <c r="K15" s="249" t="str">
        <f>+IF(ManoObra[[#This Row],[Valor mensual base]]&gt;=$C$5,"ok","&lt;SMMLV")</f>
        <v>ok</v>
      </c>
    </row>
    <row r="16" spans="1:11" ht="14.5">
      <c r="A16" s="249">
        <v>4</v>
      </c>
      <c r="B16" s="325" t="s">
        <v>216</v>
      </c>
      <c r="C16" s="325" t="s">
        <v>210</v>
      </c>
      <c r="D16" s="354"/>
      <c r="E16" s="352">
        <f t="shared" si="2"/>
        <v>0</v>
      </c>
      <c r="F16" s="353">
        <f t="shared" si="0"/>
        <v>0</v>
      </c>
      <c r="G16" s="354">
        <f>+ManoObra[[#This Row],[Valor mensual base]]*(1+ManoObra[[#This Row],[Margen positivo]])</f>
        <v>0</v>
      </c>
      <c r="H16" s="352">
        <f t="shared" si="1"/>
        <v>0</v>
      </c>
      <c r="I16" s="355" t="s">
        <v>217</v>
      </c>
      <c r="J16" s="356">
        <f t="shared" si="3"/>
        <v>45689</v>
      </c>
      <c r="K16" s="249" t="str">
        <f>+IF(ManoObra[[#This Row],[Valor mensual base]]&gt;=$C$5,"ok","&lt;SMMLV")</f>
        <v>ok</v>
      </c>
    </row>
    <row r="17" spans="1:11" ht="14.5">
      <c r="A17" s="249">
        <v>5</v>
      </c>
      <c r="B17" s="325" t="s">
        <v>218</v>
      </c>
      <c r="C17" s="325" t="s">
        <v>219</v>
      </c>
      <c r="D17" s="354"/>
      <c r="E17" s="352">
        <f t="shared" si="2"/>
        <v>0</v>
      </c>
      <c r="F17" s="353">
        <f t="shared" si="0"/>
        <v>0</v>
      </c>
      <c r="G17" s="354">
        <f>+ManoObra[[#This Row],[Valor mensual base]]*(1+ManoObra[[#This Row],[Margen positivo]])</f>
        <v>0</v>
      </c>
      <c r="H17" s="352">
        <f t="shared" si="1"/>
        <v>0</v>
      </c>
      <c r="I17" s="355" t="s">
        <v>220</v>
      </c>
      <c r="J17" s="356">
        <f t="shared" si="3"/>
        <v>45689</v>
      </c>
      <c r="K17" s="249" t="str">
        <f>+IF(ManoObra[[#This Row],[Valor mensual base]]&gt;=$C$5,"ok","&lt;SMMLV")</f>
        <v>ok</v>
      </c>
    </row>
    <row r="18" spans="1:11" ht="14.5">
      <c r="A18" s="249">
        <v>6</v>
      </c>
      <c r="B18" s="325" t="s">
        <v>221</v>
      </c>
      <c r="C18" s="325" t="s">
        <v>210</v>
      </c>
      <c r="D18" s="354"/>
      <c r="E18" s="352">
        <f t="shared" si="2"/>
        <v>0</v>
      </c>
      <c r="F18" s="353">
        <f t="shared" si="0"/>
        <v>0</v>
      </c>
      <c r="G18" s="354">
        <f>+ManoObra[[#This Row],[Valor mensual base]]*(1+ManoObra[[#This Row],[Margen positivo]])</f>
        <v>0</v>
      </c>
      <c r="H18" s="352">
        <f t="shared" si="1"/>
        <v>0</v>
      </c>
      <c r="I18" s="355" t="s">
        <v>222</v>
      </c>
      <c r="J18" s="356">
        <f t="shared" si="3"/>
        <v>45689</v>
      </c>
      <c r="K18" s="249" t="str">
        <f>+IF(ManoObra[[#This Row],[Valor mensual base]]&gt;=$C$5,"ok","&lt;SMMLV")</f>
        <v>ok</v>
      </c>
    </row>
    <row r="19" spans="1:11" ht="14.5">
      <c r="A19" s="249">
        <v>7</v>
      </c>
      <c r="B19" s="325" t="s">
        <v>223</v>
      </c>
      <c r="C19" s="325" t="s">
        <v>210</v>
      </c>
      <c r="D19" s="354"/>
      <c r="E19" s="352">
        <f t="shared" si="2"/>
        <v>0</v>
      </c>
      <c r="F19" s="353">
        <f t="shared" si="0"/>
        <v>0</v>
      </c>
      <c r="G19" s="354">
        <f>+ManoObra[[#This Row],[Valor mensual base]]*(1+ManoObra[[#This Row],[Margen positivo]])</f>
        <v>0</v>
      </c>
      <c r="H19" s="352">
        <f t="shared" si="1"/>
        <v>0</v>
      </c>
      <c r="I19" s="355" t="s">
        <v>224</v>
      </c>
      <c r="J19" s="356">
        <f t="shared" si="3"/>
        <v>45689</v>
      </c>
      <c r="K19" s="249" t="str">
        <f>+IF(ManoObra[[#This Row],[Valor mensual base]]&gt;=$C$5,"ok","&lt;SMMLV")</f>
        <v>ok</v>
      </c>
    </row>
    <row r="20" spans="1:11" ht="14.5">
      <c r="A20" s="249">
        <v>8</v>
      </c>
      <c r="B20" s="325" t="s">
        <v>225</v>
      </c>
      <c r="C20" s="325" t="s">
        <v>219</v>
      </c>
      <c r="D20" s="354"/>
      <c r="E20" s="352">
        <f t="shared" si="2"/>
        <v>0</v>
      </c>
      <c r="F20" s="353">
        <f t="shared" si="0"/>
        <v>0</v>
      </c>
      <c r="G20" s="354">
        <f>+ManoObra[[#This Row],[Valor mensual base]]*(1+ManoObra[[#This Row],[Margen positivo]])</f>
        <v>0</v>
      </c>
      <c r="H20" s="352">
        <f t="shared" si="1"/>
        <v>0</v>
      </c>
      <c r="I20" s="355" t="s">
        <v>226</v>
      </c>
      <c r="J20" s="356">
        <f t="shared" si="3"/>
        <v>45689</v>
      </c>
      <c r="K20" s="249" t="str">
        <f>+IF(ManoObra[[#This Row],[Valor mensual base]]&gt;=$C$5,"ok","&lt;SMMLV")</f>
        <v>ok</v>
      </c>
    </row>
    <row r="21" spans="1:11" ht="14.5">
      <c r="A21" s="249">
        <v>9</v>
      </c>
      <c r="B21" s="325" t="s">
        <v>227</v>
      </c>
      <c r="C21" s="325" t="s">
        <v>219</v>
      </c>
      <c r="D21" s="354"/>
      <c r="E21" s="352">
        <f t="shared" si="2"/>
        <v>0</v>
      </c>
      <c r="F21" s="353">
        <f t="shared" si="0"/>
        <v>0</v>
      </c>
      <c r="G21" s="354">
        <f>+ManoObra[[#This Row],[Valor mensual base]]*(1+ManoObra[[#This Row],[Margen positivo]])</f>
        <v>0</v>
      </c>
      <c r="H21" s="352">
        <f t="shared" si="1"/>
        <v>0</v>
      </c>
      <c r="I21" s="355" t="s">
        <v>228</v>
      </c>
      <c r="J21" s="356">
        <f t="shared" si="3"/>
        <v>45689</v>
      </c>
      <c r="K21" s="249" t="str">
        <f>+IF(ManoObra[[#This Row],[Valor mensual base]]&gt;=$C$5,"ok","&lt;SMMLV")</f>
        <v>ok</v>
      </c>
    </row>
    <row r="22" spans="1:11" ht="14.5">
      <c r="A22" s="249">
        <v>10</v>
      </c>
      <c r="B22" s="325" t="s">
        <v>229</v>
      </c>
      <c r="C22" s="325" t="s">
        <v>219</v>
      </c>
      <c r="D22" s="354"/>
      <c r="E22" s="352">
        <f t="shared" si="2"/>
        <v>0</v>
      </c>
      <c r="F22" s="353">
        <f t="shared" si="0"/>
        <v>0</v>
      </c>
      <c r="G22" s="354">
        <f>+ManoObra[[#This Row],[Valor mensual base]]*(1+ManoObra[[#This Row],[Margen positivo]])</f>
        <v>0</v>
      </c>
      <c r="H22" s="352">
        <f t="shared" si="1"/>
        <v>0</v>
      </c>
      <c r="I22" s="355" t="s">
        <v>230</v>
      </c>
      <c r="J22" s="356">
        <f t="shared" si="3"/>
        <v>45689</v>
      </c>
      <c r="K22" s="249" t="str">
        <f>+IF(ManoObra[[#This Row],[Valor mensual base]]&gt;=$C$5,"ok","&lt;SMMLV")</f>
        <v>ok</v>
      </c>
    </row>
    <row r="23" spans="1:11" ht="14.5">
      <c r="A23" s="249">
        <v>11</v>
      </c>
      <c r="B23" s="325" t="s">
        <v>231</v>
      </c>
      <c r="C23" s="325" t="s">
        <v>210</v>
      </c>
      <c r="D23" s="354"/>
      <c r="E23" s="352">
        <f t="shared" si="2"/>
        <v>0</v>
      </c>
      <c r="F23" s="353">
        <f t="shared" si="0"/>
        <v>0</v>
      </c>
      <c r="G23" s="354">
        <f>+ManoObra[[#This Row],[Valor mensual base]]*(1+ManoObra[[#This Row],[Margen positivo]])</f>
        <v>0</v>
      </c>
      <c r="H23" s="352">
        <f t="shared" si="1"/>
        <v>0</v>
      </c>
      <c r="I23" s="355" t="s">
        <v>232</v>
      </c>
      <c r="J23" s="356">
        <f t="shared" si="3"/>
        <v>45689</v>
      </c>
      <c r="K23" s="249" t="str">
        <f>+IF(ManoObra[[#This Row],[Valor mensual base]]&gt;=$C$5,"ok","&lt;SMMLV")</f>
        <v>ok</v>
      </c>
    </row>
    <row r="24" spans="1:11" ht="14.5">
      <c r="A24" s="249">
        <v>12</v>
      </c>
      <c r="B24" s="325" t="s">
        <v>233</v>
      </c>
      <c r="C24" s="325" t="s">
        <v>210</v>
      </c>
      <c r="D24" s="354"/>
      <c r="E24" s="352">
        <f t="shared" si="2"/>
        <v>0</v>
      </c>
      <c r="F24" s="353">
        <f t="shared" si="0"/>
        <v>0</v>
      </c>
      <c r="G24" s="354">
        <f>+ManoObra[[#This Row],[Valor mensual base]]*(1+ManoObra[[#This Row],[Margen positivo]])</f>
        <v>0</v>
      </c>
      <c r="H24" s="352">
        <f t="shared" si="1"/>
        <v>0</v>
      </c>
      <c r="I24" s="355" t="s">
        <v>234</v>
      </c>
      <c r="J24" s="356">
        <f t="shared" si="3"/>
        <v>45689</v>
      </c>
      <c r="K24" s="249" t="str">
        <f>+IF(ManoObra[[#This Row],[Valor mensual base]]&gt;=$C$5,"ok","&lt;SMMLV")</f>
        <v>ok</v>
      </c>
    </row>
    <row r="25" spans="1:11" ht="14.5">
      <c r="A25" s="249">
        <v>13</v>
      </c>
      <c r="B25" s="325" t="s">
        <v>235</v>
      </c>
      <c r="C25" s="325" t="s">
        <v>210</v>
      </c>
      <c r="D25" s="354"/>
      <c r="E25" s="352">
        <f t="shared" si="2"/>
        <v>0</v>
      </c>
      <c r="F25" s="353">
        <f t="shared" si="0"/>
        <v>0</v>
      </c>
      <c r="G25" s="354">
        <f>+ManoObra[[#This Row],[Valor mensual base]]*(1+ManoObra[[#This Row],[Margen positivo]])</f>
        <v>0</v>
      </c>
      <c r="H25" s="352">
        <f t="shared" si="1"/>
        <v>0</v>
      </c>
      <c r="I25" s="355" t="s">
        <v>236</v>
      </c>
      <c r="J25" s="356">
        <f t="shared" si="3"/>
        <v>45689</v>
      </c>
      <c r="K25" s="249" t="str">
        <f>+IF(ManoObra[[#This Row],[Valor mensual base]]&gt;=$C$5,"ok","&lt;SMMLV")</f>
        <v>ok</v>
      </c>
    </row>
    <row r="26" spans="1:11" ht="14.5">
      <c r="A26" s="249">
        <v>14</v>
      </c>
      <c r="B26" s="249" t="s">
        <v>237</v>
      </c>
      <c r="C26" s="325" t="s">
        <v>210</v>
      </c>
      <c r="D26" s="354"/>
      <c r="E26" s="352">
        <f t="shared" si="2"/>
        <v>0</v>
      </c>
      <c r="F26" s="353">
        <f t="shared" si="0"/>
        <v>0</v>
      </c>
      <c r="G26" s="354">
        <f>+ManoObra[[#This Row],[Valor mensual base]]*(1+ManoObra[[#This Row],[Margen positivo]])</f>
        <v>0</v>
      </c>
      <c r="H26" s="352">
        <f t="shared" si="1"/>
        <v>0</v>
      </c>
      <c r="I26" s="355" t="s">
        <v>238</v>
      </c>
      <c r="J26" s="356">
        <f t="shared" si="3"/>
        <v>45689</v>
      </c>
      <c r="K26" s="249" t="str">
        <f>+IF(ManoObra[[#This Row],[Valor mensual base]]&gt;=$C$5,"ok","&lt;SMMLV")</f>
        <v>ok</v>
      </c>
    </row>
    <row r="27" spans="1:11" ht="14.5">
      <c r="A27" s="249">
        <v>15</v>
      </c>
      <c r="B27" s="249" t="s">
        <v>239</v>
      </c>
      <c r="C27" s="325" t="s">
        <v>219</v>
      </c>
      <c r="D27" s="354"/>
      <c r="E27" s="352">
        <f t="shared" si="2"/>
        <v>0</v>
      </c>
      <c r="F27" s="353">
        <f t="shared" si="0"/>
        <v>0</v>
      </c>
      <c r="G27" s="354">
        <f>+ManoObra[[#This Row],[Valor mensual base]]*(1+ManoObra[[#This Row],[Margen positivo]])</f>
        <v>0</v>
      </c>
      <c r="H27" s="352">
        <f t="shared" si="1"/>
        <v>0</v>
      </c>
      <c r="I27" s="249" t="s">
        <v>213</v>
      </c>
      <c r="J27" s="356">
        <f t="shared" si="3"/>
        <v>45689</v>
      </c>
      <c r="K27" s="249" t="str">
        <f>+IF(ManoObra[[#This Row],[Valor mensual base]]&gt;=$C$5,"ok","&lt;SMMLV")</f>
        <v>ok</v>
      </c>
    </row>
    <row r="28" spans="1:11" ht="14.5">
      <c r="A28" s="249">
        <v>16</v>
      </c>
      <c r="B28" s="325" t="s">
        <v>240</v>
      </c>
      <c r="C28" s="325" t="s">
        <v>219</v>
      </c>
      <c r="D28" s="354"/>
      <c r="E28" s="352">
        <f t="shared" si="2"/>
        <v>0</v>
      </c>
      <c r="F28" s="353">
        <f t="shared" si="0"/>
        <v>0</v>
      </c>
      <c r="G28" s="354">
        <f>+ManoObra[[#This Row],[Valor mensual base]]*(1+ManoObra[[#This Row],[Margen positivo]])</f>
        <v>0</v>
      </c>
      <c r="H28" s="352">
        <f t="shared" si="1"/>
        <v>0</v>
      </c>
      <c r="I28" s="249" t="s">
        <v>213</v>
      </c>
      <c r="J28" s="356">
        <f t="shared" si="3"/>
        <v>45689</v>
      </c>
      <c r="K28" s="249" t="str">
        <f>+IF(ManoObra[[#This Row],[Valor mensual base]]&gt;=$C$5,"ok","&lt;SMMLV")</f>
        <v>ok</v>
      </c>
    </row>
    <row r="29" spans="1:11" ht="14.5">
      <c r="A29" s="249">
        <v>17</v>
      </c>
      <c r="B29" s="325" t="s">
        <v>241</v>
      </c>
      <c r="C29" s="325" t="s">
        <v>219</v>
      </c>
      <c r="D29" s="354"/>
      <c r="E29" s="352">
        <f t="shared" si="2"/>
        <v>0</v>
      </c>
      <c r="F29" s="353">
        <f t="shared" si="0"/>
        <v>0</v>
      </c>
      <c r="G29" s="354">
        <f>+ManoObra[[#This Row],[Valor mensual base]]*(1+ManoObra[[#This Row],[Margen positivo]])</f>
        <v>0</v>
      </c>
      <c r="H29" s="352">
        <f t="shared" si="1"/>
        <v>0</v>
      </c>
      <c r="I29" s="355" t="s">
        <v>242</v>
      </c>
      <c r="J29" s="356">
        <f t="shared" si="3"/>
        <v>45689</v>
      </c>
      <c r="K29" s="249" t="str">
        <f>+IF(ManoObra[[#This Row],[Valor mensual base]]&gt;=$C$5,"ok","&lt;SMMLV")</f>
        <v>ok</v>
      </c>
    </row>
    <row r="30" spans="1:11" ht="14.5">
      <c r="A30" s="249">
        <v>18</v>
      </c>
      <c r="B30" s="249" t="s">
        <v>243</v>
      </c>
      <c r="C30" s="325" t="s">
        <v>210</v>
      </c>
      <c r="D30" s="354"/>
      <c r="E30" s="357">
        <f t="shared" si="2"/>
        <v>0</v>
      </c>
      <c r="F30" s="353">
        <f t="shared" si="0"/>
        <v>0</v>
      </c>
      <c r="G30" s="354">
        <f>+ManoObra[[#This Row],[Valor mensual base]]*(1+ManoObra[[#This Row],[Margen positivo]])</f>
        <v>0</v>
      </c>
      <c r="H30" s="352">
        <f t="shared" si="1"/>
        <v>0</v>
      </c>
      <c r="I30" s="355" t="s">
        <v>222</v>
      </c>
      <c r="J30" s="356">
        <f t="shared" si="3"/>
        <v>45689</v>
      </c>
      <c r="K30" s="249" t="str">
        <f>+IF(ManoObra[[#This Row],[Valor mensual base]]&gt;=$C$5,"ok","&lt;SMMLV")</f>
        <v>ok</v>
      </c>
    </row>
    <row r="31" spans="1:11" ht="14.5">
      <c r="A31" s="249">
        <v>19</v>
      </c>
      <c r="B31" s="325" t="s">
        <v>244</v>
      </c>
      <c r="C31" s="325" t="s">
        <v>210</v>
      </c>
      <c r="D31" s="354"/>
      <c r="E31" s="357">
        <f t="shared" si="2"/>
        <v>0</v>
      </c>
      <c r="F31" s="353">
        <f t="shared" si="0"/>
        <v>0</v>
      </c>
      <c r="G31" s="354">
        <f>+ManoObra[[#This Row],[Valor mensual base]]*(1+ManoObra[[#This Row],[Margen positivo]])</f>
        <v>0</v>
      </c>
      <c r="H31" s="352">
        <f t="shared" si="1"/>
        <v>0</v>
      </c>
      <c r="I31" s="355" t="s">
        <v>245</v>
      </c>
      <c r="J31" s="356">
        <f t="shared" si="3"/>
        <v>45689</v>
      </c>
      <c r="K31" s="249" t="str">
        <f>+IF(ManoObra[[#This Row],[Valor mensual base]]&gt;=$C$5,"ok","&lt;SMMLV")</f>
        <v>ok</v>
      </c>
    </row>
    <row r="32" spans="1:11" ht="14.5">
      <c r="A32" s="249">
        <v>21</v>
      </c>
      <c r="B32" s="325" t="s">
        <v>246</v>
      </c>
      <c r="C32" s="325" t="s">
        <v>247</v>
      </c>
      <c r="D32" s="354"/>
      <c r="E32" s="357">
        <f t="shared" si="2"/>
        <v>0</v>
      </c>
      <c r="F32" s="353">
        <f>$C$7</f>
        <v>0</v>
      </c>
      <c r="G32" s="354">
        <f>+ManoObra[[#This Row],[Valor mensual base]]*(1+ManoObra[[#This Row],[Margen positivo]])</f>
        <v>0</v>
      </c>
      <c r="H32" s="352">
        <f t="shared" si="1"/>
        <v>0</v>
      </c>
      <c r="I32" s="358" t="s">
        <v>248</v>
      </c>
      <c r="J32" s="356">
        <f t="shared" si="3"/>
        <v>45689</v>
      </c>
      <c r="K32" s="249" t="str">
        <f>+IF(ManoObra[[#This Row],[Valor mensual base]]&gt;=$C$5,"ok","&lt;SMMLV")</f>
        <v>ok</v>
      </c>
    </row>
    <row r="33" spans="1:11" ht="14.5">
      <c r="A33" s="249">
        <v>20</v>
      </c>
      <c r="B33" s="359" t="s">
        <v>249</v>
      </c>
      <c r="C33" s="359" t="s">
        <v>210</v>
      </c>
      <c r="D33" s="179"/>
      <c r="E33" s="360">
        <f t="shared" si="2"/>
        <v>0</v>
      </c>
      <c r="F33" s="361">
        <f>$C$7</f>
        <v>0</v>
      </c>
      <c r="G33" s="354">
        <f>+ManoObra[[#This Row],[Valor mensual base]]*(1+ManoObra[[#This Row],[Margen positivo]])</f>
        <v>0</v>
      </c>
      <c r="H33" s="352">
        <f t="shared" si="1"/>
        <v>0</v>
      </c>
      <c r="I33" s="355" t="s">
        <v>250</v>
      </c>
      <c r="J33" s="356">
        <f>+J31</f>
        <v>45689</v>
      </c>
      <c r="K33" s="249" t="str">
        <f>+IF(ManoObra[[#This Row],[Valor mensual base]]&gt;=$C$5,"ok","&lt;SMMLV")</f>
        <v>ok</v>
      </c>
    </row>
    <row r="34" spans="1:11">
      <c r="B34" s="18"/>
      <c r="C34" s="18"/>
      <c r="D34" s="24"/>
      <c r="E34" s="19"/>
      <c r="F34" s="20"/>
      <c r="G34" s="20"/>
      <c r="H34" s="21"/>
      <c r="I34" s="22"/>
      <c r="J34" s="23"/>
    </row>
    <row r="35" spans="1:11">
      <c r="B35" s="24"/>
      <c r="C35" s="24"/>
      <c r="D35" s="24"/>
      <c r="E35" s="24"/>
    </row>
    <row r="36" spans="1:11" ht="24" customHeight="1">
      <c r="B36" s="24"/>
      <c r="C36" s="24"/>
      <c r="D36" s="24"/>
      <c r="E36" s="24"/>
    </row>
    <row r="37" spans="1:11">
      <c r="A37" s="25"/>
      <c r="B37" s="155" t="s">
        <v>14</v>
      </c>
    </row>
    <row r="38" spans="1:11">
      <c r="B38" s="140" t="s">
        <v>15</v>
      </c>
    </row>
    <row r="39" spans="1:11" ht="19.899999999999999" customHeight="1">
      <c r="B39" s="16"/>
    </row>
  </sheetData>
  <mergeCells count="2">
    <mergeCell ref="A2:J2"/>
    <mergeCell ref="A11:J11"/>
  </mergeCells>
  <hyperlinks>
    <hyperlink ref="I13" r:id="rId1" xr:uid="{220B1286-25A1-4452-82A1-E7360EAC6772}"/>
    <hyperlink ref="I15" r:id="rId2" xr:uid="{94AEC46C-6717-406E-9E69-821A3A9B626F}"/>
    <hyperlink ref="I16" r:id="rId3" xr:uid="{809A1115-6F05-4840-BD3A-D87F85CD6928}"/>
    <hyperlink ref="I17" r:id="rId4" xr:uid="{9E292538-2AAD-4FC6-84A8-492745339798}"/>
    <hyperlink ref="I18" r:id="rId5" xr:uid="{9E2C2A9F-8D34-4114-86A2-231CA9AA826E}"/>
    <hyperlink ref="I19" r:id="rId6" xr:uid="{4B82A476-387A-4B36-BE74-1B8BE5182BCE}"/>
    <hyperlink ref="I20" r:id="rId7" xr:uid="{AFAEE47B-0256-4631-8B16-AF680174631D}"/>
    <hyperlink ref="I21" r:id="rId8" xr:uid="{DCCAEDA5-ADA1-49FC-8AF9-21D7A8A2D731}"/>
    <hyperlink ref="I22" r:id="rId9" xr:uid="{AA59B13B-E11D-491F-8A23-D24EF59918DF}"/>
    <hyperlink ref="I23" r:id="rId10" xr:uid="{E2BA2095-70D9-4C5E-BFBA-D91F24D29907}"/>
    <hyperlink ref="I24" r:id="rId11" xr:uid="{879F3233-7FB7-4368-BCE3-07B380BF93F6}"/>
    <hyperlink ref="I25" r:id="rId12" xr:uid="{35CCB2E8-6108-4443-97FD-145AFFC614A1}"/>
    <hyperlink ref="I26" r:id="rId13" xr:uid="{A3491396-4E2A-4113-98ED-F66721B2EF9C}"/>
    <hyperlink ref="I29" r:id="rId14" xr:uid="{6C8B66ED-0355-4982-8F82-2271FB89D0B2}"/>
    <hyperlink ref="I30" r:id="rId15" xr:uid="{31364BA4-A7A8-41BA-86F8-026C329A0E34}"/>
    <hyperlink ref="I31" r:id="rId16" xr:uid="{34B9851D-FA8B-4961-AE67-1B20A42F3100}"/>
    <hyperlink ref="I33" r:id="rId17" xr:uid="{A41DD575-BDBF-41A8-9F26-2DC317702A50}"/>
    <hyperlink ref="I14" r:id="rId18" xr:uid="{DC3F9941-1F60-4BA7-86F2-08CC069A2550}"/>
    <hyperlink ref="I32" r:id="rId19" xr:uid="{A4C44896-EB7D-47A3-8DBB-262E9477199B}"/>
  </hyperlinks>
  <pageMargins left="0.70866141732283472" right="0.70866141732283472" top="0.74803149606299213" bottom="0.74803149606299213" header="0.31496062992125984" footer="0.31496062992125984"/>
  <pageSetup paperSize="9" scale="56" orientation="landscape" r:id="rId20"/>
  <drawing r:id="rId21"/>
  <tableParts count="1">
    <tablePart r:id="rId2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7A87-D0CD-4634-A59D-93EEA3C79CEA}">
  <dimension ref="A1:G68"/>
  <sheetViews>
    <sheetView view="pageBreakPreview" zoomScale="70" zoomScaleNormal="100" zoomScaleSheetLayoutView="70" workbookViewId="0">
      <selection activeCell="E63" sqref="E63:E66"/>
    </sheetView>
  </sheetViews>
  <sheetFormatPr baseColWidth="10" defaultColWidth="12.7265625" defaultRowHeight="14.5"/>
  <cols>
    <col min="1" max="1" width="18" style="225" customWidth="1"/>
    <col min="2" max="2" width="91.7265625" style="225" customWidth="1"/>
    <col min="3" max="3" width="13.54296875" style="225" customWidth="1"/>
    <col min="4" max="4" width="13.26953125" style="225" bestFit="1" customWidth="1"/>
    <col min="5" max="5" width="20" style="225" bestFit="1" customWidth="1"/>
    <col min="6" max="6" width="18" style="225" bestFit="1" customWidth="1"/>
    <col min="7" max="7" width="41.453125" style="225" customWidth="1"/>
    <col min="8" max="16384" width="12.7265625" style="225"/>
  </cols>
  <sheetData>
    <row r="1" spans="1:7" ht="49.15" customHeight="1">
      <c r="A1" s="592"/>
      <c r="B1" s="593" t="s">
        <v>280</v>
      </c>
      <c r="C1" s="593"/>
      <c r="D1" s="593"/>
      <c r="E1" s="593"/>
      <c r="F1" s="593"/>
      <c r="G1" s="594"/>
    </row>
    <row r="2" spans="1:7" ht="15" customHeight="1">
      <c r="A2" s="592"/>
      <c r="B2" s="593"/>
      <c r="C2" s="593"/>
      <c r="D2" s="593"/>
      <c r="E2" s="593"/>
      <c r="F2" s="593"/>
      <c r="G2" s="594"/>
    </row>
    <row r="3" spans="1:7">
      <c r="A3" s="592"/>
      <c r="B3" s="595" t="s">
        <v>281</v>
      </c>
      <c r="C3" s="595"/>
      <c r="D3" s="595"/>
      <c r="E3" s="595"/>
      <c r="F3" s="595"/>
      <c r="G3" s="596"/>
    </row>
    <row r="4" spans="1:7">
      <c r="A4" s="597" t="s">
        <v>282</v>
      </c>
      <c r="B4" s="598"/>
      <c r="C4" s="598"/>
      <c r="D4" s="598"/>
      <c r="E4" s="599"/>
      <c r="F4" s="258" t="s">
        <v>2</v>
      </c>
      <c r="G4" s="258">
        <v>660</v>
      </c>
    </row>
    <row r="5" spans="1:7">
      <c r="A5" s="259" t="s">
        <v>283</v>
      </c>
      <c r="B5" s="259" t="s">
        <v>19</v>
      </c>
      <c r="C5" s="259" t="s">
        <v>284</v>
      </c>
      <c r="D5" s="260" t="s">
        <v>48</v>
      </c>
      <c r="E5" s="259" t="s">
        <v>285</v>
      </c>
      <c r="F5" s="259" t="s">
        <v>286</v>
      </c>
      <c r="G5" s="261" t="s">
        <v>287</v>
      </c>
    </row>
    <row r="6" spans="1:7" ht="49.9" customHeight="1">
      <c r="A6" s="600">
        <v>1</v>
      </c>
      <c r="B6" s="570" t="s">
        <v>288</v>
      </c>
      <c r="C6" s="571"/>
      <c r="D6" s="571"/>
      <c r="E6" s="571"/>
      <c r="F6" s="571"/>
      <c r="G6" s="572"/>
    </row>
    <row r="7" spans="1:7" ht="87" customHeight="1">
      <c r="A7" s="584"/>
      <c r="B7" s="362" t="s">
        <v>289</v>
      </c>
      <c r="C7" s="363" t="s">
        <v>290</v>
      </c>
      <c r="D7" s="363">
        <v>6</v>
      </c>
      <c r="E7" s="364"/>
      <c r="F7" s="365">
        <f>E7*D7</f>
        <v>0</v>
      </c>
      <c r="G7" s="578">
        <f>SUM(F7:F10)</f>
        <v>0</v>
      </c>
    </row>
    <row r="8" spans="1:7" ht="31.9" customHeight="1">
      <c r="A8" s="584"/>
      <c r="B8" s="362" t="s">
        <v>291</v>
      </c>
      <c r="C8" s="363" t="s">
        <v>292</v>
      </c>
      <c r="D8" s="363">
        <v>2</v>
      </c>
      <c r="E8" s="364"/>
      <c r="F8" s="365">
        <f>E8*2*D8</f>
        <v>0</v>
      </c>
      <c r="G8" s="578"/>
    </row>
    <row r="9" spans="1:7" ht="49.9" customHeight="1">
      <c r="A9" s="584"/>
      <c r="B9" s="262" t="s">
        <v>293</v>
      </c>
      <c r="C9" s="263" t="s">
        <v>294</v>
      </c>
      <c r="D9" s="264">
        <v>0</v>
      </c>
      <c r="E9" s="265"/>
      <c r="F9" s="365">
        <f t="shared" ref="F9:F10" si="0">E9*D9</f>
        <v>0</v>
      </c>
      <c r="G9" s="579"/>
    </row>
    <row r="10" spans="1:7" ht="49.9" customHeight="1">
      <c r="A10" s="584"/>
      <c r="B10" s="362" t="s">
        <v>295</v>
      </c>
      <c r="C10" s="263" t="s">
        <v>294</v>
      </c>
      <c r="D10" s="264">
        <v>0</v>
      </c>
      <c r="E10" s="265"/>
      <c r="F10" s="365">
        <f t="shared" si="0"/>
        <v>0</v>
      </c>
      <c r="G10" s="579"/>
    </row>
    <row r="11" spans="1:7" ht="40.15" customHeight="1">
      <c r="A11" s="601"/>
      <c r="B11" s="573" t="s">
        <v>296</v>
      </c>
      <c r="C11" s="574"/>
      <c r="D11" s="574"/>
      <c r="E11" s="574"/>
      <c r="F11" s="575"/>
      <c r="G11" s="576">
        <f>SUM(F12:F16)</f>
        <v>0</v>
      </c>
    </row>
    <row r="12" spans="1:7" ht="101.5">
      <c r="A12" s="601"/>
      <c r="B12" s="366" t="s">
        <v>297</v>
      </c>
      <c r="C12" s="266" t="s">
        <v>298</v>
      </c>
      <c r="D12" s="267">
        <v>344</v>
      </c>
      <c r="E12" s="268"/>
      <c r="F12" s="269">
        <f>E12*D12</f>
        <v>0</v>
      </c>
      <c r="G12" s="576"/>
    </row>
    <row r="13" spans="1:7" ht="34.9" customHeight="1">
      <c r="A13" s="601"/>
      <c r="B13" s="366" t="s">
        <v>299</v>
      </c>
      <c r="C13" s="266" t="s">
        <v>298</v>
      </c>
      <c r="D13" s="267">
        <v>344</v>
      </c>
      <c r="E13" s="268"/>
      <c r="F13" s="269">
        <f>E13*D13</f>
        <v>0</v>
      </c>
      <c r="G13" s="576"/>
    </row>
    <row r="14" spans="1:7" ht="48" customHeight="1">
      <c r="A14" s="601"/>
      <c r="B14" s="367" t="s">
        <v>300</v>
      </c>
      <c r="C14" s="263" t="s">
        <v>301</v>
      </c>
      <c r="D14" s="270">
        <v>330</v>
      </c>
      <c r="E14" s="271"/>
      <c r="F14" s="269">
        <f>E14*8</f>
        <v>0</v>
      </c>
      <c r="G14" s="576"/>
    </row>
    <row r="15" spans="1:7" ht="33" customHeight="1">
      <c r="A15" s="584"/>
      <c r="B15" s="367" t="s">
        <v>302</v>
      </c>
      <c r="C15" s="266" t="s">
        <v>298</v>
      </c>
      <c r="D15" s="270">
        <v>1</v>
      </c>
      <c r="E15" s="268"/>
      <c r="F15" s="271">
        <f>E15*D15</f>
        <v>0</v>
      </c>
      <c r="G15" s="576"/>
    </row>
    <row r="16" spans="1:7" ht="34.9" customHeight="1">
      <c r="A16" s="602"/>
      <c r="B16" s="272" t="s">
        <v>303</v>
      </c>
      <c r="C16" s="266" t="s">
        <v>298</v>
      </c>
      <c r="D16" s="267">
        <v>3</v>
      </c>
      <c r="E16" s="268"/>
      <c r="F16" s="269">
        <f>E16*D16</f>
        <v>0</v>
      </c>
      <c r="G16" s="577"/>
    </row>
    <row r="17" spans="1:7" ht="40.15" customHeight="1">
      <c r="A17" s="600">
        <v>2</v>
      </c>
      <c r="B17" s="573" t="s">
        <v>304</v>
      </c>
      <c r="C17" s="574"/>
      <c r="D17" s="574"/>
      <c r="E17" s="574"/>
      <c r="F17" s="575"/>
      <c r="G17" s="603">
        <f>F18+F19</f>
        <v>0</v>
      </c>
    </row>
    <row r="18" spans="1:7" ht="42" customHeight="1">
      <c r="A18" s="584"/>
      <c r="B18" s="362" t="s">
        <v>305</v>
      </c>
      <c r="C18" s="363" t="s">
        <v>298</v>
      </c>
      <c r="D18" s="363">
        <v>19</v>
      </c>
      <c r="E18" s="365"/>
      <c r="F18" s="365">
        <f>E18*D18</f>
        <v>0</v>
      </c>
      <c r="G18" s="604"/>
    </row>
    <row r="19" spans="1:7" ht="49.15" customHeight="1">
      <c r="A19" s="584"/>
      <c r="B19" s="362" t="s">
        <v>306</v>
      </c>
      <c r="C19" s="363" t="s">
        <v>298</v>
      </c>
      <c r="D19" s="363">
        <v>19</v>
      </c>
      <c r="E19" s="273"/>
      <c r="F19" s="365">
        <f>E19*D19</f>
        <v>0</v>
      </c>
      <c r="G19" s="604"/>
    </row>
    <row r="20" spans="1:7" ht="40.15" customHeight="1">
      <c r="A20" s="583">
        <v>3</v>
      </c>
      <c r="B20" s="573" t="s">
        <v>307</v>
      </c>
      <c r="C20" s="574"/>
      <c r="D20" s="574"/>
      <c r="E20" s="574"/>
      <c r="F20" s="575"/>
      <c r="G20" s="603">
        <f>SUM(F21:F23)</f>
        <v>0</v>
      </c>
    </row>
    <row r="21" spans="1:7" ht="34.9" customHeight="1">
      <c r="A21" s="601"/>
      <c r="B21" s="368" t="s">
        <v>308</v>
      </c>
      <c r="C21" s="274" t="s">
        <v>298</v>
      </c>
      <c r="D21" s="275">
        <v>1320</v>
      </c>
      <c r="E21" s="268"/>
      <c r="F21" s="269">
        <f t="shared" ref="F21:F23" si="1">E21*D21</f>
        <v>0</v>
      </c>
      <c r="G21" s="603"/>
    </row>
    <row r="22" spans="1:7" ht="42" customHeight="1">
      <c r="A22" s="601"/>
      <c r="B22" s="367" t="s">
        <v>309</v>
      </c>
      <c r="C22" s="266" t="s">
        <v>292</v>
      </c>
      <c r="D22" s="270">
        <v>5</v>
      </c>
      <c r="E22" s="268"/>
      <c r="F22" s="269">
        <f>E22*D22</f>
        <v>0</v>
      </c>
      <c r="G22" s="605"/>
    </row>
    <row r="23" spans="1:7" ht="43.5">
      <c r="A23" s="601"/>
      <c r="B23" s="276" t="s">
        <v>310</v>
      </c>
      <c r="C23" s="277" t="s">
        <v>294</v>
      </c>
      <c r="D23" s="270">
        <v>0</v>
      </c>
      <c r="E23" s="271"/>
      <c r="F23" s="269">
        <f t="shared" si="1"/>
        <v>0</v>
      </c>
      <c r="G23" s="605"/>
    </row>
    <row r="24" spans="1:7" ht="40.15" customHeight="1">
      <c r="A24" s="583">
        <v>4</v>
      </c>
      <c r="B24" s="573" t="s">
        <v>311</v>
      </c>
      <c r="C24" s="574"/>
      <c r="D24" s="574"/>
      <c r="E24" s="574"/>
      <c r="F24" s="575"/>
      <c r="G24" s="567">
        <f>SUM(F25:F29)</f>
        <v>0</v>
      </c>
    </row>
    <row r="25" spans="1:7" ht="55.9" customHeight="1">
      <c r="A25" s="584"/>
      <c r="B25" s="366" t="s">
        <v>312</v>
      </c>
      <c r="C25" s="266" t="s">
        <v>298</v>
      </c>
      <c r="D25" s="267">
        <v>344</v>
      </c>
      <c r="E25" s="268"/>
      <c r="F25" s="278">
        <f t="shared" ref="F25:F29" si="2">E25*D25</f>
        <v>0</v>
      </c>
      <c r="G25" s="567"/>
    </row>
    <row r="26" spans="1:7" ht="34.9" customHeight="1">
      <c r="A26" s="584"/>
      <c r="B26" s="362" t="s">
        <v>313</v>
      </c>
      <c r="C26" s="263" t="s">
        <v>298</v>
      </c>
      <c r="D26" s="267">
        <v>344</v>
      </c>
      <c r="E26" s="268"/>
      <c r="F26" s="278">
        <f t="shared" si="2"/>
        <v>0</v>
      </c>
      <c r="G26" s="567"/>
    </row>
    <row r="27" spans="1:7" ht="29">
      <c r="A27" s="584"/>
      <c r="B27" s="367" t="s">
        <v>314</v>
      </c>
      <c r="C27" s="263" t="s">
        <v>301</v>
      </c>
      <c r="D27" s="264">
        <v>330</v>
      </c>
      <c r="E27" s="271"/>
      <c r="F27" s="278">
        <f>E27*8</f>
        <v>0</v>
      </c>
      <c r="G27" s="567"/>
    </row>
    <row r="28" spans="1:7" ht="34.9" customHeight="1">
      <c r="A28" s="584"/>
      <c r="B28" s="367" t="s">
        <v>302</v>
      </c>
      <c r="C28" s="266" t="s">
        <v>298</v>
      </c>
      <c r="D28" s="270">
        <v>1</v>
      </c>
      <c r="E28" s="268"/>
      <c r="F28" s="271">
        <f>E28*D28</f>
        <v>0</v>
      </c>
      <c r="G28" s="567"/>
    </row>
    <row r="29" spans="1:7" ht="70.150000000000006" customHeight="1">
      <c r="A29" s="602"/>
      <c r="B29" s="262" t="s">
        <v>315</v>
      </c>
      <c r="C29" s="263" t="s">
        <v>294</v>
      </c>
      <c r="D29" s="264">
        <v>0</v>
      </c>
      <c r="E29" s="265"/>
      <c r="F29" s="278">
        <f t="shared" si="2"/>
        <v>0</v>
      </c>
      <c r="G29" s="567"/>
    </row>
    <row r="30" spans="1:7" ht="49.9" customHeight="1">
      <c r="A30" s="583">
        <v>5</v>
      </c>
      <c r="B30" s="606" t="s">
        <v>316</v>
      </c>
      <c r="C30" s="607"/>
      <c r="D30" s="607"/>
      <c r="E30" s="607"/>
      <c r="F30" s="607"/>
      <c r="G30" s="567">
        <f>SUM(F31:F34)</f>
        <v>0</v>
      </c>
    </row>
    <row r="31" spans="1:7">
      <c r="A31" s="584"/>
      <c r="B31" s="362" t="s">
        <v>291</v>
      </c>
      <c r="C31" s="363" t="s">
        <v>292</v>
      </c>
      <c r="D31" s="363">
        <v>2</v>
      </c>
      <c r="E31" s="364"/>
      <c r="F31" s="365">
        <f>E31*2*(D31)</f>
        <v>0</v>
      </c>
      <c r="G31" s="567"/>
    </row>
    <row r="32" spans="1:7" ht="42" customHeight="1">
      <c r="A32" s="584"/>
      <c r="B32" s="367" t="s">
        <v>317</v>
      </c>
      <c r="C32" s="266" t="s">
        <v>290</v>
      </c>
      <c r="D32" s="270">
        <v>1</v>
      </c>
      <c r="E32" s="268"/>
      <c r="F32" s="279">
        <f>E32*(D32*1)</f>
        <v>0</v>
      </c>
      <c r="G32" s="567"/>
    </row>
    <row r="33" spans="1:7" ht="42" customHeight="1">
      <c r="A33" s="584"/>
      <c r="B33" s="262" t="s">
        <v>293</v>
      </c>
      <c r="C33" s="263" t="s">
        <v>294</v>
      </c>
      <c r="D33" s="264">
        <v>0</v>
      </c>
      <c r="E33" s="265"/>
      <c r="F33" s="369">
        <f t="shared" ref="F33:F34" si="3">E33*D33</f>
        <v>0</v>
      </c>
      <c r="G33" s="567"/>
    </row>
    <row r="34" spans="1:7" ht="64.150000000000006" customHeight="1">
      <c r="A34" s="584"/>
      <c r="B34" s="362" t="s">
        <v>295</v>
      </c>
      <c r="C34" s="263" t="s">
        <v>294</v>
      </c>
      <c r="D34" s="264">
        <v>0</v>
      </c>
      <c r="E34" s="265"/>
      <c r="F34" s="369">
        <f t="shared" si="3"/>
        <v>0</v>
      </c>
      <c r="G34" s="567"/>
    </row>
    <row r="35" spans="1:7" ht="40.15" customHeight="1">
      <c r="A35" s="585">
        <v>6</v>
      </c>
      <c r="B35" s="573" t="s">
        <v>318</v>
      </c>
      <c r="C35" s="574"/>
      <c r="D35" s="574"/>
      <c r="E35" s="574"/>
      <c r="F35" s="575"/>
      <c r="G35" s="586">
        <f>SUM(F37:F45)</f>
        <v>0</v>
      </c>
    </row>
    <row r="36" spans="1:7" ht="37.9" customHeight="1">
      <c r="A36" s="585"/>
      <c r="B36" s="580" t="s">
        <v>319</v>
      </c>
      <c r="C36" s="580"/>
      <c r="D36" s="580"/>
      <c r="E36" s="580"/>
      <c r="F36" s="580"/>
      <c r="G36" s="569"/>
    </row>
    <row r="37" spans="1:7" ht="34.9" customHeight="1">
      <c r="A37" s="585"/>
      <c r="B37" s="362" t="s">
        <v>320</v>
      </c>
      <c r="C37" s="274" t="s">
        <v>321</v>
      </c>
      <c r="D37" s="370">
        <v>332</v>
      </c>
      <c r="E37" s="280"/>
      <c r="F37" s="365">
        <f>E37*(D37*3)</f>
        <v>0</v>
      </c>
      <c r="G37" s="569"/>
    </row>
    <row r="38" spans="1:7" ht="34.9" customHeight="1">
      <c r="A38" s="585"/>
      <c r="B38" s="362" t="s">
        <v>322</v>
      </c>
      <c r="C38" s="263" t="s">
        <v>298</v>
      </c>
      <c r="D38" s="264">
        <v>1</v>
      </c>
      <c r="E38" s="281"/>
      <c r="F38" s="365">
        <f t="shared" ref="F38" si="4">E38*D38</f>
        <v>0</v>
      </c>
      <c r="G38" s="569"/>
    </row>
    <row r="39" spans="1:7" ht="37.9" customHeight="1">
      <c r="A39" s="585"/>
      <c r="B39" s="580" t="s">
        <v>323</v>
      </c>
      <c r="C39" s="580"/>
      <c r="D39" s="580"/>
      <c r="E39" s="580"/>
      <c r="F39" s="580"/>
      <c r="G39" s="569"/>
    </row>
    <row r="40" spans="1:7" ht="34.9" customHeight="1">
      <c r="A40" s="585"/>
      <c r="B40" s="362" t="s">
        <v>324</v>
      </c>
      <c r="C40" s="266" t="s">
        <v>321</v>
      </c>
      <c r="D40" s="267">
        <v>660</v>
      </c>
      <c r="E40" s="280"/>
      <c r="F40" s="265">
        <f>E40*(D40*3)</f>
        <v>0</v>
      </c>
      <c r="G40" s="569"/>
    </row>
    <row r="41" spans="1:7" ht="34.9" customHeight="1">
      <c r="A41" s="585"/>
      <c r="B41" s="371" t="s">
        <v>325</v>
      </c>
      <c r="C41" s="277" t="s">
        <v>321</v>
      </c>
      <c r="D41" s="267">
        <v>660</v>
      </c>
      <c r="E41" s="268"/>
      <c r="F41" s="265">
        <f>E41*D41</f>
        <v>0</v>
      </c>
      <c r="G41" s="569"/>
    </row>
    <row r="42" spans="1:7" ht="34.9" customHeight="1">
      <c r="A42" s="585"/>
      <c r="B42" s="362" t="s">
        <v>326</v>
      </c>
      <c r="C42" s="266" t="s">
        <v>321</v>
      </c>
      <c r="D42" s="264">
        <v>1</v>
      </c>
      <c r="E42" s="281"/>
      <c r="F42" s="265">
        <f>E42*D42</f>
        <v>0</v>
      </c>
      <c r="G42" s="569"/>
    </row>
    <row r="43" spans="1:7" ht="37.9" customHeight="1">
      <c r="A43" s="585"/>
      <c r="B43" s="580" t="s">
        <v>327</v>
      </c>
      <c r="C43" s="580"/>
      <c r="D43" s="580"/>
      <c r="E43" s="580"/>
      <c r="F43" s="580"/>
      <c r="G43" s="569"/>
    </row>
    <row r="44" spans="1:7" ht="34.9" customHeight="1">
      <c r="A44" s="585"/>
      <c r="B44" s="372" t="s">
        <v>328</v>
      </c>
      <c r="C44" s="263" t="s">
        <v>321</v>
      </c>
      <c r="D44" s="264">
        <v>660</v>
      </c>
      <c r="E44" s="280"/>
      <c r="F44" s="265">
        <f>E44*(D44*4)</f>
        <v>0</v>
      </c>
      <c r="G44" s="569"/>
    </row>
    <row r="45" spans="1:7" ht="34.9" customHeight="1">
      <c r="A45" s="585"/>
      <c r="B45" s="362" t="s">
        <v>329</v>
      </c>
      <c r="C45" s="263" t="s">
        <v>298</v>
      </c>
      <c r="D45" s="264">
        <v>1</v>
      </c>
      <c r="E45" s="281"/>
      <c r="F45" s="265">
        <f>E45*D45</f>
        <v>0</v>
      </c>
      <c r="G45" s="587"/>
    </row>
    <row r="46" spans="1:7" ht="45" customHeight="1">
      <c r="A46" s="581">
        <v>7</v>
      </c>
      <c r="B46" s="573" t="s">
        <v>330</v>
      </c>
      <c r="C46" s="574"/>
      <c r="D46" s="574"/>
      <c r="E46" s="574"/>
      <c r="F46" s="575"/>
      <c r="G46" s="568">
        <f>SUM(F47:F51)</f>
        <v>0</v>
      </c>
    </row>
    <row r="47" spans="1:7" ht="42" customHeight="1">
      <c r="A47" s="582"/>
      <c r="B47" s="372" t="s">
        <v>331</v>
      </c>
      <c r="C47" s="263" t="s">
        <v>321</v>
      </c>
      <c r="D47" s="264">
        <v>662</v>
      </c>
      <c r="E47" s="265"/>
      <c r="F47" s="265">
        <f>E47*(D47*4)</f>
        <v>0</v>
      </c>
      <c r="G47" s="569"/>
    </row>
    <row r="48" spans="1:7" ht="34.9" customHeight="1">
      <c r="A48" s="582"/>
      <c r="B48" s="362" t="s">
        <v>322</v>
      </c>
      <c r="C48" s="263" t="s">
        <v>298</v>
      </c>
      <c r="D48" s="264">
        <v>1</v>
      </c>
      <c r="E48" s="281"/>
      <c r="F48" s="365">
        <f t="shared" ref="F48" si="5">E48*D48</f>
        <v>0</v>
      </c>
      <c r="G48" s="569"/>
    </row>
    <row r="49" spans="1:7" ht="34.9" customHeight="1">
      <c r="A49" s="582"/>
      <c r="B49" s="282" t="s">
        <v>332</v>
      </c>
      <c r="C49" s="266" t="s">
        <v>321</v>
      </c>
      <c r="D49" s="270">
        <v>586</v>
      </c>
      <c r="E49" s="283"/>
      <c r="F49" s="265">
        <f>E49*D49</f>
        <v>0</v>
      </c>
      <c r="G49" s="569"/>
    </row>
    <row r="50" spans="1:7" ht="34.9" customHeight="1">
      <c r="A50" s="582"/>
      <c r="B50" s="362" t="s">
        <v>333</v>
      </c>
      <c r="C50" s="373" t="s">
        <v>321</v>
      </c>
      <c r="D50" s="374">
        <v>1</v>
      </c>
      <c r="E50" s="265"/>
      <c r="F50" s="265">
        <f>E50*D50</f>
        <v>0</v>
      </c>
      <c r="G50" s="569"/>
    </row>
    <row r="51" spans="1:7" ht="34.9" customHeight="1">
      <c r="A51" s="582"/>
      <c r="B51" s="362" t="s">
        <v>334</v>
      </c>
      <c r="C51" s="266" t="s">
        <v>321</v>
      </c>
      <c r="D51" s="264">
        <v>1</v>
      </c>
      <c r="E51" s="284"/>
      <c r="F51" s="285">
        <f>D51*E51</f>
        <v>0</v>
      </c>
      <c r="G51" s="569"/>
    </row>
    <row r="52" spans="1:7" ht="40.15" customHeight="1">
      <c r="A52" s="581">
        <v>8</v>
      </c>
      <c r="B52" s="573" t="s">
        <v>335</v>
      </c>
      <c r="C52" s="574"/>
      <c r="D52" s="574"/>
      <c r="E52" s="574"/>
      <c r="F52" s="575"/>
      <c r="G52" s="567">
        <f>SUM(F54:F66)</f>
        <v>0</v>
      </c>
    </row>
    <row r="53" spans="1:7" ht="37.9" customHeight="1">
      <c r="A53" s="582"/>
      <c r="B53" s="580" t="s">
        <v>336</v>
      </c>
      <c r="C53" s="580"/>
      <c r="D53" s="580"/>
      <c r="E53" s="580"/>
      <c r="F53" s="580"/>
      <c r="G53" s="567"/>
    </row>
    <row r="54" spans="1:7" ht="34.9" customHeight="1">
      <c r="A54" s="582"/>
      <c r="B54" s="372" t="s">
        <v>337</v>
      </c>
      <c r="C54" s="263" t="s">
        <v>321</v>
      </c>
      <c r="D54" s="264">
        <v>662</v>
      </c>
      <c r="E54" s="286"/>
      <c r="F54" s="287">
        <f>E54*D54</f>
        <v>0</v>
      </c>
      <c r="G54" s="567"/>
    </row>
    <row r="55" spans="1:7" ht="42" customHeight="1">
      <c r="A55" s="582"/>
      <c r="B55" s="262" t="s">
        <v>338</v>
      </c>
      <c r="C55" s="263" t="s">
        <v>298</v>
      </c>
      <c r="D55" s="264">
        <v>1</v>
      </c>
      <c r="E55" s="265"/>
      <c r="F55" s="287">
        <f t="shared" ref="F55:F61" si="6">E55*D55</f>
        <v>0</v>
      </c>
      <c r="G55" s="567"/>
    </row>
    <row r="56" spans="1:7" ht="34.9" customHeight="1">
      <c r="A56" s="582"/>
      <c r="B56" s="262" t="s">
        <v>339</v>
      </c>
      <c r="C56" s="288" t="s">
        <v>321</v>
      </c>
      <c r="D56" s="288">
        <v>1</v>
      </c>
      <c r="E56" s="265"/>
      <c r="F56" s="287">
        <f t="shared" si="6"/>
        <v>0</v>
      </c>
      <c r="G56" s="567"/>
    </row>
    <row r="57" spans="1:7" ht="42" customHeight="1">
      <c r="A57" s="582"/>
      <c r="B57" s="262" t="s">
        <v>340</v>
      </c>
      <c r="C57" s="288" t="s">
        <v>321</v>
      </c>
      <c r="D57" s="288">
        <v>1</v>
      </c>
      <c r="E57" s="265"/>
      <c r="F57" s="287">
        <f t="shared" si="6"/>
        <v>0</v>
      </c>
      <c r="G57" s="567"/>
    </row>
    <row r="58" spans="1:7" ht="34.9" customHeight="1">
      <c r="A58" s="582"/>
      <c r="B58" s="375" t="s">
        <v>341</v>
      </c>
      <c r="C58" s="288" t="s">
        <v>321</v>
      </c>
      <c r="D58" s="288">
        <v>1</v>
      </c>
      <c r="E58" s="286"/>
      <c r="F58" s="287">
        <f t="shared" si="6"/>
        <v>0</v>
      </c>
      <c r="G58" s="567"/>
    </row>
    <row r="59" spans="1:7" ht="34.9" customHeight="1">
      <c r="A59" s="582"/>
      <c r="B59" s="262" t="s">
        <v>342</v>
      </c>
      <c r="C59" s="288" t="s">
        <v>321</v>
      </c>
      <c r="D59" s="288">
        <v>5</v>
      </c>
      <c r="E59" s="265"/>
      <c r="F59" s="287">
        <f t="shared" si="6"/>
        <v>0</v>
      </c>
      <c r="G59" s="567"/>
    </row>
    <row r="60" spans="1:7" ht="34.9" customHeight="1">
      <c r="A60" s="582"/>
      <c r="B60" s="262" t="s">
        <v>343</v>
      </c>
      <c r="C60" s="288" t="s">
        <v>321</v>
      </c>
      <c r="D60" s="288">
        <v>1</v>
      </c>
      <c r="E60" s="265"/>
      <c r="F60" s="287">
        <f t="shared" si="6"/>
        <v>0</v>
      </c>
      <c r="G60" s="567"/>
    </row>
    <row r="61" spans="1:7" ht="34.9" customHeight="1">
      <c r="A61" s="582"/>
      <c r="B61" s="262" t="s">
        <v>344</v>
      </c>
      <c r="C61" s="288" t="s">
        <v>321</v>
      </c>
      <c r="D61" s="288">
        <v>1</v>
      </c>
      <c r="E61" s="265"/>
      <c r="F61" s="287">
        <f t="shared" si="6"/>
        <v>0</v>
      </c>
      <c r="G61" s="567"/>
    </row>
    <row r="62" spans="1:7" ht="37.9" customHeight="1">
      <c r="A62" s="582"/>
      <c r="B62" s="580" t="s">
        <v>345</v>
      </c>
      <c r="C62" s="580"/>
      <c r="D62" s="580"/>
      <c r="E62" s="580"/>
      <c r="F62" s="580"/>
      <c r="G62" s="567"/>
    </row>
    <row r="63" spans="1:7" ht="34.9" customHeight="1">
      <c r="A63" s="582"/>
      <c r="B63" s="372" t="s">
        <v>337</v>
      </c>
      <c r="C63" s="266" t="s">
        <v>321</v>
      </c>
      <c r="D63" s="267">
        <v>662</v>
      </c>
      <c r="E63" s="289"/>
      <c r="F63" s="290">
        <f>D63*E63</f>
        <v>0</v>
      </c>
      <c r="G63" s="567"/>
    </row>
    <row r="64" spans="1:7" ht="34.9" customHeight="1">
      <c r="A64" s="582"/>
      <c r="B64" s="362" t="s">
        <v>346</v>
      </c>
      <c r="C64" s="266" t="s">
        <v>321</v>
      </c>
      <c r="D64" s="264">
        <v>1</v>
      </c>
      <c r="E64" s="265"/>
      <c r="F64" s="290">
        <f t="shared" ref="F64:F66" si="7">D64*E64</f>
        <v>0</v>
      </c>
      <c r="G64" s="567"/>
    </row>
    <row r="65" spans="1:7" ht="34.9" customHeight="1">
      <c r="A65" s="582"/>
      <c r="B65" s="262" t="s">
        <v>347</v>
      </c>
      <c r="C65" s="288" t="s">
        <v>321</v>
      </c>
      <c r="D65" s="288">
        <v>1</v>
      </c>
      <c r="E65" s="291"/>
      <c r="F65" s="290">
        <f t="shared" si="7"/>
        <v>0</v>
      </c>
      <c r="G65" s="567"/>
    </row>
    <row r="66" spans="1:7" ht="34.9" customHeight="1">
      <c r="A66" s="582"/>
      <c r="B66" s="262" t="s">
        <v>348</v>
      </c>
      <c r="C66" s="288" t="s">
        <v>321</v>
      </c>
      <c r="D66" s="288">
        <v>1</v>
      </c>
      <c r="E66" s="291"/>
      <c r="F66" s="290">
        <f t="shared" si="7"/>
        <v>0</v>
      </c>
      <c r="G66" s="567"/>
    </row>
    <row r="67" spans="1:7" ht="39.75" customHeight="1">
      <c r="A67" s="376"/>
      <c r="B67" s="377"/>
      <c r="C67" s="377"/>
      <c r="D67" s="377"/>
      <c r="E67" s="588" t="s">
        <v>7</v>
      </c>
      <c r="F67" s="589"/>
      <c r="G67" s="378">
        <f>SUM(G7:G66)</f>
        <v>0</v>
      </c>
    </row>
    <row r="68" spans="1:7" ht="15" customHeight="1">
      <c r="A68" s="379"/>
      <c r="B68" s="379"/>
      <c r="C68" s="379"/>
      <c r="D68" s="379"/>
      <c r="E68" s="590" t="s">
        <v>349</v>
      </c>
      <c r="F68" s="591"/>
      <c r="G68" s="380">
        <f>G67/G4</f>
        <v>0</v>
      </c>
    </row>
  </sheetData>
  <mergeCells count="37">
    <mergeCell ref="E67:F67"/>
    <mergeCell ref="E68:F68"/>
    <mergeCell ref="A1:A3"/>
    <mergeCell ref="B1:G2"/>
    <mergeCell ref="B3:G3"/>
    <mergeCell ref="A4:E4"/>
    <mergeCell ref="A52:A66"/>
    <mergeCell ref="A6:A16"/>
    <mergeCell ref="A20:A23"/>
    <mergeCell ref="G17:G19"/>
    <mergeCell ref="G20:G23"/>
    <mergeCell ref="A17:A19"/>
    <mergeCell ref="A24:A29"/>
    <mergeCell ref="B30:F30"/>
    <mergeCell ref="B24:F24"/>
    <mergeCell ref="G24:G29"/>
    <mergeCell ref="A46:A51"/>
    <mergeCell ref="A30:A34"/>
    <mergeCell ref="A35:A45"/>
    <mergeCell ref="G35:G45"/>
    <mergeCell ref="B35:F35"/>
    <mergeCell ref="G52:G66"/>
    <mergeCell ref="G46:G51"/>
    <mergeCell ref="G30:G34"/>
    <mergeCell ref="B6:G6"/>
    <mergeCell ref="B11:F11"/>
    <mergeCell ref="B17:F17"/>
    <mergeCell ref="B20:F20"/>
    <mergeCell ref="G11:G16"/>
    <mergeCell ref="G7:G10"/>
    <mergeCell ref="B52:F52"/>
    <mergeCell ref="B39:F39"/>
    <mergeCell ref="B43:F43"/>
    <mergeCell ref="B53:F53"/>
    <mergeCell ref="B62:F62"/>
    <mergeCell ref="B46:F46"/>
    <mergeCell ref="B36:F36"/>
  </mergeCells>
  <pageMargins left="0.7" right="0.7" top="0.75" bottom="0.75" header="0.3" footer="0.3"/>
  <pageSetup scale="42"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59BA-0A3D-44D1-9209-AE0BF8E3F2B9}">
  <sheetPr codeName="Hoja45"/>
  <dimension ref="A1:Q45"/>
  <sheetViews>
    <sheetView showGridLines="0" view="pageBreakPreview" topLeftCell="A11" zoomScale="55" zoomScaleNormal="80" zoomScaleSheetLayoutView="55" workbookViewId="0">
      <selection activeCell="P35" sqref="P1:S35"/>
    </sheetView>
  </sheetViews>
  <sheetFormatPr baseColWidth="10" defaultColWidth="14.453125" defaultRowHeight="19.899999999999999" customHeight="1"/>
  <cols>
    <col min="1" max="1" width="8.453125" style="109" customWidth="1"/>
    <col min="2" max="2" width="93.7265625" style="109" customWidth="1"/>
    <col min="3" max="3" width="11.7265625" style="109" customWidth="1"/>
    <col min="4" max="4" width="15.26953125" style="109" customWidth="1"/>
    <col min="5" max="5" width="25.81640625" style="109" customWidth="1"/>
    <col min="6" max="15" width="22.26953125" style="109" customWidth="1"/>
    <col min="16" max="16" width="21.81640625" style="109" customWidth="1"/>
    <col min="17" max="17" width="16.81640625" style="109" bestFit="1" customWidth="1"/>
    <col min="18" max="16384" width="14.453125" style="109"/>
  </cols>
  <sheetData>
    <row r="1" spans="1:17" ht="51.65" customHeight="1">
      <c r="A1" s="694" t="str">
        <f>+'PRES GENERAL MR'!A1</f>
        <v>IMPLEMENTACIÓN DE SOLUCIONES ENERGÉTICAS SOSTENIBLES CON FUENTES NO CONVENCIONALES, PARA LAS COMUNIDADES RURALES DEL MUNICIPIO DE PLATO, DEPARTAMENTO MAGDALENA.</v>
      </c>
      <c r="B1" s="695"/>
      <c r="C1" s="695"/>
      <c r="D1" s="695"/>
      <c r="E1" s="695"/>
      <c r="F1" s="695"/>
      <c r="G1" s="695"/>
      <c r="H1" s="695"/>
      <c r="I1" s="695"/>
      <c r="J1" s="695"/>
      <c r="K1" s="695"/>
      <c r="L1" s="695"/>
      <c r="M1" s="695"/>
      <c r="N1" s="695"/>
      <c r="O1" s="695"/>
    </row>
    <row r="2" spans="1:17" ht="19.899999999999999" customHeight="1" thickBot="1">
      <c r="A2" s="696" t="s">
        <v>1189</v>
      </c>
      <c r="B2" s="697"/>
      <c r="C2" s="697"/>
      <c r="D2" s="697"/>
      <c r="E2" s="697"/>
      <c r="F2" s="697"/>
      <c r="G2" s="697"/>
      <c r="H2" s="697"/>
      <c r="I2" s="697"/>
      <c r="J2" s="697"/>
      <c r="K2" s="697"/>
      <c r="L2" s="697"/>
      <c r="M2" s="697"/>
      <c r="N2" s="697"/>
      <c r="O2" s="697"/>
    </row>
    <row r="3" spans="1:17" s="111" customFormat="1" ht="31.9" customHeight="1" thickBot="1">
      <c r="A3" s="127" t="s">
        <v>486</v>
      </c>
      <c r="B3" s="128" t="s">
        <v>279</v>
      </c>
      <c r="C3" s="128" t="s">
        <v>87</v>
      </c>
      <c r="D3" s="128" t="s">
        <v>488</v>
      </c>
      <c r="E3" s="129" t="s">
        <v>1190</v>
      </c>
      <c r="F3" s="110" t="s">
        <v>1191</v>
      </c>
      <c r="G3" s="110" t="s">
        <v>1192</v>
      </c>
      <c r="H3" s="110" t="s">
        <v>1193</v>
      </c>
      <c r="I3" s="110" t="s">
        <v>1194</v>
      </c>
      <c r="J3" s="110" t="s">
        <v>1195</v>
      </c>
      <c r="K3" s="110" t="s">
        <v>1196</v>
      </c>
      <c r="L3" s="110" t="s">
        <v>1197</v>
      </c>
      <c r="M3" s="110" t="s">
        <v>1198</v>
      </c>
      <c r="N3" s="110" t="s">
        <v>1199</v>
      </c>
      <c r="O3" s="110" t="s">
        <v>1200</v>
      </c>
    </row>
    <row r="4" spans="1:17" ht="27.65" customHeight="1">
      <c r="A4" s="123" t="s">
        <v>1201</v>
      </c>
      <c r="B4" s="124" t="s">
        <v>1202</v>
      </c>
      <c r="C4" s="125"/>
      <c r="D4" s="125"/>
      <c r="E4" s="126"/>
      <c r="F4" s="112" t="s">
        <v>1203</v>
      </c>
      <c r="G4" s="112" t="s">
        <v>1204</v>
      </c>
      <c r="H4" s="112" t="s">
        <v>1205</v>
      </c>
      <c r="I4" s="112" t="s">
        <v>1206</v>
      </c>
      <c r="J4" s="112" t="s">
        <v>1207</v>
      </c>
      <c r="K4" s="112" t="s">
        <v>1208</v>
      </c>
      <c r="L4" s="112" t="s">
        <v>1209</v>
      </c>
      <c r="M4" s="112" t="s">
        <v>1210</v>
      </c>
      <c r="N4" s="112" t="s">
        <v>1211</v>
      </c>
      <c r="O4" s="112" t="s">
        <v>1212</v>
      </c>
      <c r="P4" s="113"/>
    </row>
    <row r="5" spans="1:17" ht="27.65" customHeight="1">
      <c r="A5" s="215"/>
      <c r="B5" s="418" t="s">
        <v>1213</v>
      </c>
      <c r="C5" s="419" t="s">
        <v>277</v>
      </c>
      <c r="D5" s="419">
        <v>30</v>
      </c>
      <c r="E5" s="420"/>
      <c r="F5" s="421"/>
      <c r="G5" s="422"/>
      <c r="H5" s="422"/>
      <c r="I5" s="422"/>
      <c r="J5" s="422"/>
      <c r="K5" s="422"/>
      <c r="L5" s="422"/>
      <c r="M5" s="422"/>
      <c r="N5" s="422"/>
      <c r="O5" s="226"/>
      <c r="P5" s="113"/>
    </row>
    <row r="6" spans="1:17" ht="27.65" customHeight="1">
      <c r="A6" s="215"/>
      <c r="B6" s="418" t="s">
        <v>1214</v>
      </c>
      <c r="C6" s="419" t="s">
        <v>277</v>
      </c>
      <c r="D6" s="419">
        <v>30</v>
      </c>
      <c r="E6" s="420"/>
      <c r="F6" s="422"/>
      <c r="G6" s="421"/>
      <c r="H6" s="422"/>
      <c r="I6" s="422"/>
      <c r="J6" s="422"/>
      <c r="K6" s="422"/>
      <c r="L6" s="422"/>
      <c r="M6" s="422"/>
      <c r="N6" s="422"/>
      <c r="O6" s="226"/>
      <c r="P6" s="113"/>
    </row>
    <row r="7" spans="1:17" ht="27.65" customHeight="1" thickBot="1">
      <c r="A7" s="216"/>
      <c r="B7" s="218" t="s">
        <v>1215</v>
      </c>
      <c r="C7" s="209" t="s">
        <v>277</v>
      </c>
      <c r="D7" s="209">
        <v>30</v>
      </c>
      <c r="E7" s="217"/>
      <c r="F7" s="227"/>
      <c r="G7" s="228"/>
      <c r="H7" s="227"/>
      <c r="I7" s="227"/>
      <c r="J7" s="227"/>
      <c r="K7" s="227"/>
      <c r="L7" s="227"/>
      <c r="M7" s="227"/>
      <c r="N7" s="227"/>
      <c r="O7" s="229"/>
      <c r="P7" s="113"/>
    </row>
    <row r="8" spans="1:17" ht="19.899999999999999" customHeight="1" thickBot="1">
      <c r="A8" s="199" t="s">
        <v>1216</v>
      </c>
      <c r="B8" s="200" t="s">
        <v>1217</v>
      </c>
      <c r="C8" s="201"/>
      <c r="D8" s="201"/>
      <c r="E8" s="202"/>
      <c r="F8" s="202"/>
      <c r="G8" s="202"/>
      <c r="H8" s="202"/>
      <c r="I8" s="202"/>
      <c r="J8" s="202"/>
      <c r="K8" s="202"/>
      <c r="L8" s="202"/>
      <c r="M8" s="202"/>
      <c r="N8" s="202"/>
      <c r="O8" s="202"/>
      <c r="P8" s="113"/>
    </row>
    <row r="9" spans="1:17" ht="28.9" customHeight="1">
      <c r="A9" s="203">
        <f>+'PRES GENERAL MR'!A4</f>
        <v>1</v>
      </c>
      <c r="B9" s="204" t="str">
        <f>+'PRES GENERAL MR'!B4</f>
        <v>Replanteo de obra</v>
      </c>
      <c r="C9" s="205" t="s">
        <v>640</v>
      </c>
      <c r="D9" s="205">
        <f>+'PRES GENERAL MR'!D5</f>
        <v>660</v>
      </c>
      <c r="E9" s="211"/>
      <c r="F9" s="230"/>
      <c r="G9" s="230"/>
      <c r="H9" s="234">
        <f>$E9</f>
        <v>0</v>
      </c>
      <c r="I9" s="235"/>
      <c r="J9" s="235"/>
      <c r="K9" s="235"/>
      <c r="L9" s="235"/>
      <c r="M9" s="235"/>
      <c r="N9" s="235"/>
      <c r="O9" s="236"/>
      <c r="P9" s="156"/>
      <c r="Q9" s="116"/>
    </row>
    <row r="10" spans="1:17" ht="28.9" customHeight="1">
      <c r="A10" s="207"/>
      <c r="B10" s="418" t="s">
        <v>1218</v>
      </c>
      <c r="C10" s="419" t="s">
        <v>640</v>
      </c>
      <c r="D10" s="419"/>
      <c r="E10" s="423"/>
      <c r="F10" s="424"/>
      <c r="G10" s="424"/>
      <c r="H10" s="425">
        <f>$E$10</f>
        <v>0</v>
      </c>
      <c r="I10" s="424"/>
      <c r="J10" s="424"/>
      <c r="K10" s="424"/>
      <c r="L10" s="424"/>
      <c r="M10" s="424"/>
      <c r="N10" s="424"/>
      <c r="O10" s="232"/>
      <c r="P10" s="156"/>
      <c r="Q10" s="116"/>
    </row>
    <row r="11" spans="1:17" ht="28.9" customHeight="1">
      <c r="A11" s="207"/>
      <c r="B11" s="418" t="s">
        <v>1219</v>
      </c>
      <c r="C11" s="419" t="s">
        <v>640</v>
      </c>
      <c r="D11" s="419"/>
      <c r="E11" s="423"/>
      <c r="F11" s="424"/>
      <c r="G11" s="424"/>
      <c r="H11" s="424"/>
      <c r="I11" s="425">
        <f>+$E$11</f>
        <v>0</v>
      </c>
      <c r="J11" s="424"/>
      <c r="K11" s="424"/>
      <c r="L11" s="424"/>
      <c r="M11" s="424"/>
      <c r="N11" s="424"/>
      <c r="O11" s="232"/>
      <c r="P11" s="156"/>
      <c r="Q11" s="116"/>
    </row>
    <row r="12" spans="1:17" ht="28.9" customHeight="1">
      <c r="A12" s="207"/>
      <c r="B12" s="418" t="s">
        <v>1220</v>
      </c>
      <c r="C12" s="419" t="s">
        <v>640</v>
      </c>
      <c r="D12" s="419"/>
      <c r="E12" s="423"/>
      <c r="F12" s="424"/>
      <c r="G12" s="424"/>
      <c r="H12" s="424"/>
      <c r="I12" s="425">
        <f>+$E$12</f>
        <v>0</v>
      </c>
      <c r="J12" s="424"/>
      <c r="K12" s="424"/>
      <c r="L12" s="424"/>
      <c r="M12" s="424"/>
      <c r="N12" s="424"/>
      <c r="O12" s="232"/>
      <c r="P12" s="156"/>
      <c r="Q12" s="116"/>
    </row>
    <row r="13" spans="1:17" ht="28.9" customHeight="1">
      <c r="A13" s="207">
        <f>+'PRES GENERAL MR'!A6</f>
        <v>2</v>
      </c>
      <c r="B13" s="426" t="str">
        <f>+'PRES GENERAL MR'!B6</f>
        <v>Implementación y puesta en funcionamiento de sistema individual solar fotovoltaico</v>
      </c>
      <c r="C13" s="419" t="s">
        <v>640</v>
      </c>
      <c r="D13" s="427">
        <f>+'PRES GENERAL MR'!D7</f>
        <v>649</v>
      </c>
      <c r="E13" s="428"/>
      <c r="F13" s="424"/>
      <c r="G13" s="424"/>
      <c r="H13" s="424"/>
      <c r="I13" s="424"/>
      <c r="J13" s="429">
        <f>$E13/4</f>
        <v>0</v>
      </c>
      <c r="K13" s="429">
        <f t="shared" ref="K13:M16" si="0">$E13/4</f>
        <v>0</v>
      </c>
      <c r="L13" s="429">
        <f t="shared" si="0"/>
        <v>0</v>
      </c>
      <c r="M13" s="429">
        <f t="shared" si="0"/>
        <v>0</v>
      </c>
      <c r="N13" s="424"/>
      <c r="O13" s="232"/>
      <c r="P13" s="156"/>
      <c r="Q13" s="116"/>
    </row>
    <row r="14" spans="1:17" ht="28.9" customHeight="1">
      <c r="A14" s="207">
        <f>+'PRES GENERAL MR'!A11</f>
        <v>3</v>
      </c>
      <c r="B14" s="426" t="str">
        <f>+'PRES GENERAL MR'!B11</f>
        <v>Implementar SSVF microred 5 kw</v>
      </c>
      <c r="C14" s="419" t="s">
        <v>640</v>
      </c>
      <c r="D14" s="427">
        <f>+'PRES GENERAL MR'!D12</f>
        <v>2</v>
      </c>
      <c r="E14" s="428"/>
      <c r="F14" s="424"/>
      <c r="G14" s="424"/>
      <c r="H14" s="424"/>
      <c r="I14" s="424"/>
      <c r="J14" s="429">
        <f t="shared" ref="J14:J16" si="1">$E14/4</f>
        <v>0</v>
      </c>
      <c r="K14" s="429">
        <f t="shared" si="0"/>
        <v>0</v>
      </c>
      <c r="L14" s="429">
        <f t="shared" si="0"/>
        <v>0</v>
      </c>
      <c r="M14" s="429">
        <f t="shared" si="0"/>
        <v>0</v>
      </c>
      <c r="N14" s="424"/>
      <c r="O14" s="232"/>
      <c r="P14" s="156"/>
      <c r="Q14" s="116"/>
    </row>
    <row r="15" spans="1:17" ht="28.9" customHeight="1">
      <c r="A15" s="207">
        <f>+'PRES GENERAL MR'!A17</f>
        <v>4</v>
      </c>
      <c r="B15" s="426" t="str">
        <f>+'PRES GENERAL MR'!B17</f>
        <v>Red de distribución</v>
      </c>
      <c r="C15" s="419" t="s">
        <v>637</v>
      </c>
      <c r="D15" s="427">
        <v>1</v>
      </c>
      <c r="E15" s="428"/>
      <c r="F15" s="424"/>
      <c r="G15" s="424"/>
      <c r="H15" s="424"/>
      <c r="I15" s="424"/>
      <c r="J15" s="429">
        <f t="shared" si="1"/>
        <v>0</v>
      </c>
      <c r="K15" s="429">
        <f t="shared" si="0"/>
        <v>0</v>
      </c>
      <c r="L15" s="429">
        <f t="shared" si="0"/>
        <v>0</v>
      </c>
      <c r="M15" s="429">
        <f t="shared" si="0"/>
        <v>0</v>
      </c>
      <c r="N15" s="424"/>
      <c r="O15" s="232"/>
      <c r="P15" s="156"/>
      <c r="Q15" s="116"/>
    </row>
    <row r="16" spans="1:17" ht="28.9" customHeight="1" thickBot="1">
      <c r="A16" s="208">
        <f>+'PRES GENERAL MR'!A29</f>
        <v>5</v>
      </c>
      <c r="B16" s="212" t="str">
        <f>+'PRES GENERAL MR'!B29</f>
        <v>Implementar Sistema De Monitoreo Y Control Central - Nano o Microred</v>
      </c>
      <c r="C16" s="209" t="s">
        <v>640</v>
      </c>
      <c r="D16" s="214">
        <f>+'PRES GENERAL MR'!D30</f>
        <v>2</v>
      </c>
      <c r="E16" s="213"/>
      <c r="F16" s="424"/>
      <c r="G16" s="424"/>
      <c r="H16" s="424"/>
      <c r="I16" s="424"/>
      <c r="J16" s="429">
        <f t="shared" si="1"/>
        <v>0</v>
      </c>
      <c r="K16" s="429">
        <f t="shared" si="0"/>
        <v>0</v>
      </c>
      <c r="L16" s="429">
        <f t="shared" si="0"/>
        <v>0</v>
      </c>
      <c r="M16" s="429">
        <f t="shared" si="0"/>
        <v>0</v>
      </c>
      <c r="N16" s="424"/>
      <c r="O16" s="232"/>
      <c r="P16" s="156"/>
      <c r="Q16" s="116"/>
    </row>
    <row r="17" spans="1:17" ht="19.899999999999999" customHeight="1" thickBot="1">
      <c r="A17" s="133" t="s">
        <v>1221</v>
      </c>
      <c r="B17" s="134" t="s">
        <v>1222</v>
      </c>
      <c r="C17" s="114"/>
      <c r="D17" s="114"/>
      <c r="E17" s="114"/>
      <c r="F17" s="114"/>
      <c r="G17" s="114"/>
      <c r="H17" s="114"/>
      <c r="I17" s="132"/>
      <c r="J17" s="132"/>
      <c r="K17" s="132"/>
      <c r="L17" s="132"/>
      <c r="M17" s="132"/>
      <c r="N17" s="132"/>
      <c r="O17" s="132"/>
      <c r="P17" s="156"/>
      <c r="Q17" s="116"/>
    </row>
    <row r="18" spans="1:17" ht="33.65" customHeight="1">
      <c r="A18" s="203"/>
      <c r="B18" s="224" t="s">
        <v>1223</v>
      </c>
      <c r="C18" s="219" t="s">
        <v>277</v>
      </c>
      <c r="D18" s="220">
        <v>30</v>
      </c>
      <c r="E18" s="206"/>
      <c r="F18" s="237"/>
      <c r="G18" s="237"/>
      <c r="H18" s="237"/>
      <c r="I18" s="230"/>
      <c r="J18" s="230"/>
      <c r="K18" s="230"/>
      <c r="L18" s="230"/>
      <c r="M18" s="230"/>
      <c r="N18" s="238"/>
      <c r="O18" s="231"/>
      <c r="P18" s="156"/>
      <c r="Q18" s="116"/>
    </row>
    <row r="19" spans="1:17" ht="33.65" customHeight="1">
      <c r="A19" s="221"/>
      <c r="B19" s="418" t="s">
        <v>1224</v>
      </c>
      <c r="C19" s="420" t="s">
        <v>277</v>
      </c>
      <c r="D19" s="430">
        <v>30</v>
      </c>
      <c r="E19" s="431"/>
      <c r="F19" s="422"/>
      <c r="G19" s="422"/>
      <c r="H19" s="422"/>
      <c r="I19" s="424"/>
      <c r="J19" s="424"/>
      <c r="K19" s="424"/>
      <c r="L19" s="424"/>
      <c r="M19" s="424"/>
      <c r="N19" s="432"/>
      <c r="O19" s="232"/>
      <c r="P19" s="156"/>
      <c r="Q19" s="116"/>
    </row>
    <row r="20" spans="1:17" ht="33.65" customHeight="1">
      <c r="A20" s="221"/>
      <c r="B20" s="418" t="s">
        <v>1225</v>
      </c>
      <c r="C20" s="420" t="s">
        <v>277</v>
      </c>
      <c r="D20" s="430">
        <v>30</v>
      </c>
      <c r="E20" s="431"/>
      <c r="F20" s="422"/>
      <c r="G20" s="422"/>
      <c r="H20" s="422"/>
      <c r="I20" s="424"/>
      <c r="J20" s="424"/>
      <c r="K20" s="424"/>
      <c r="L20" s="424"/>
      <c r="M20" s="424"/>
      <c r="N20" s="424"/>
      <c r="O20" s="239"/>
      <c r="P20" s="156"/>
      <c r="Q20" s="116"/>
    </row>
    <row r="21" spans="1:17" ht="33.65" customHeight="1" thickBot="1">
      <c r="A21" s="222"/>
      <c r="B21" s="218" t="s">
        <v>1226</v>
      </c>
      <c r="C21" s="217" t="s">
        <v>277</v>
      </c>
      <c r="D21" s="223">
        <v>30</v>
      </c>
      <c r="E21" s="210"/>
      <c r="F21" s="227"/>
      <c r="G21" s="227"/>
      <c r="H21" s="227"/>
      <c r="I21" s="233"/>
      <c r="J21" s="233"/>
      <c r="K21" s="233"/>
      <c r="L21" s="233"/>
      <c r="M21" s="233"/>
      <c r="N21" s="233"/>
      <c r="O21" s="239"/>
      <c r="P21" s="156"/>
      <c r="Q21" s="116"/>
    </row>
    <row r="22" spans="1:17" ht="19.899999999999999" customHeight="1">
      <c r="A22" s="698" t="str">
        <f>+'PRES GENERAL MR'!A31</f>
        <v>TOTAL COSTOS DIRECTOS</v>
      </c>
      <c r="B22" s="699"/>
      <c r="C22" s="699"/>
      <c r="D22" s="699"/>
      <c r="E22" s="115">
        <f>+'PRES GENERAL MR'!P31</f>
        <v>0</v>
      </c>
      <c r="F22" s="136"/>
      <c r="G22" s="136"/>
      <c r="H22" s="135"/>
      <c r="I22" s="135"/>
      <c r="J22" s="135"/>
      <c r="K22" s="135"/>
      <c r="L22" s="135"/>
      <c r="M22" s="135"/>
      <c r="N22" s="135"/>
      <c r="O22" s="135"/>
      <c r="P22" s="156"/>
      <c r="Q22" s="116"/>
    </row>
    <row r="23" spans="1:17" ht="19.899999999999999" customHeight="1">
      <c r="A23" s="692" t="str">
        <f>+'PRES GENERAL MR'!A36</f>
        <v>TOTAL COSTOS INDIRECTOS (AIU)</v>
      </c>
      <c r="B23" s="693"/>
      <c r="C23" s="693"/>
      <c r="D23" s="693"/>
      <c r="E23" s="433">
        <f>+'PRES GENERAL MR'!P36</f>
        <v>0</v>
      </c>
      <c r="F23" s="434"/>
      <c r="G23" s="434"/>
      <c r="H23" s="433"/>
      <c r="I23" s="433"/>
      <c r="J23" s="433"/>
      <c r="K23" s="433"/>
      <c r="L23" s="433"/>
      <c r="M23" s="433"/>
      <c r="N23" s="433"/>
      <c r="O23" s="433"/>
      <c r="P23" s="156"/>
      <c r="Q23" s="116"/>
    </row>
    <row r="24" spans="1:17" ht="19.899999999999999" customHeight="1">
      <c r="A24" s="692" t="str">
        <f>+'PRES GENERAL MR'!A37</f>
        <v>VALOR CONSTRUCCIÓN (COSTOS DIRECTOS +  COSTOS INDIRECTOS)</v>
      </c>
      <c r="B24" s="693"/>
      <c r="C24" s="693"/>
      <c r="D24" s="693"/>
      <c r="E24" s="433">
        <f>+'PRES GENERAL MR'!P37</f>
        <v>0</v>
      </c>
      <c r="F24" s="434"/>
      <c r="G24" s="434"/>
      <c r="H24" s="435"/>
      <c r="I24" s="435"/>
      <c r="J24" s="435"/>
      <c r="K24" s="435"/>
      <c r="L24" s="435"/>
      <c r="M24" s="435"/>
      <c r="N24" s="435"/>
      <c r="O24" s="435"/>
      <c r="P24" s="156"/>
      <c r="Q24" s="116"/>
    </row>
    <row r="25" spans="1:17" ht="19.899999999999999" customHeight="1">
      <c r="A25" s="692" t="e">
        <f>+'PRES GENERAL MR'!#REF!</f>
        <v>#REF!</v>
      </c>
      <c r="B25" s="693"/>
      <c r="C25" s="693"/>
      <c r="D25" s="693"/>
      <c r="E25" s="433" t="e">
        <f>+'PRES GENERAL MR'!#REF!</f>
        <v>#REF!</v>
      </c>
      <c r="F25" s="434"/>
      <c r="G25" s="434"/>
      <c r="H25" s="434"/>
      <c r="I25" s="434"/>
      <c r="J25" s="434"/>
      <c r="K25" s="434"/>
      <c r="L25" s="434"/>
      <c r="M25" s="434"/>
      <c r="N25" s="434"/>
      <c r="O25" s="169"/>
      <c r="P25" s="156"/>
      <c r="Q25" s="116"/>
    </row>
    <row r="26" spans="1:17" ht="19.899999999999999" customHeight="1">
      <c r="A26" s="692" t="str">
        <f>+'PRES GENERAL MR'!A38</f>
        <v>REALIZAR RETIE(% CON RESPECTO A LOS CD ELÉCTRICOS DE NANO Y MICRO REDES)</v>
      </c>
      <c r="B26" s="693"/>
      <c r="C26" s="693"/>
      <c r="D26" s="693"/>
      <c r="E26" s="433">
        <f>+'PRES GENERAL MR'!P38</f>
        <v>0</v>
      </c>
      <c r="F26" s="434"/>
      <c r="G26" s="434"/>
      <c r="H26" s="434"/>
      <c r="I26" s="434"/>
      <c r="J26" s="434"/>
      <c r="K26" s="434"/>
      <c r="L26" s="434"/>
      <c r="M26" s="434"/>
      <c r="N26" s="434"/>
      <c r="O26" s="434"/>
      <c r="P26" s="156"/>
      <c r="Q26" s="116"/>
    </row>
    <row r="27" spans="1:17" ht="19.899999999999999" customHeight="1">
      <c r="A27" s="692" t="str">
        <f>+'PRES GENERAL MR'!A39</f>
        <v>REALIZAR GESTION SOCIAL (% CON RESPECTO A LOS COSTOS DIRECTOS)</v>
      </c>
      <c r="B27" s="693"/>
      <c r="C27" s="693"/>
      <c r="D27" s="693"/>
      <c r="E27" s="433">
        <f>+'PRES GENERAL MR'!P39</f>
        <v>0</v>
      </c>
      <c r="F27" s="434"/>
      <c r="G27" s="434"/>
      <c r="H27" s="434"/>
      <c r="I27" s="434"/>
      <c r="J27" s="434"/>
      <c r="K27" s="434"/>
      <c r="L27" s="434"/>
      <c r="M27" s="434"/>
      <c r="N27" s="434"/>
      <c r="O27" s="169"/>
      <c r="P27" s="156"/>
      <c r="Q27" s="116"/>
    </row>
    <row r="28" spans="1:17" ht="19.899999999999999" customHeight="1">
      <c r="A28" s="692" t="str">
        <f>+'PRES GENERAL MR'!A40</f>
        <v>IMPLEMENTAR PLAN DE MANEJO AMBIENTAL (% CON RESPECTO A LOS COSTOS DIRECTOS)</v>
      </c>
      <c r="B28" s="693"/>
      <c r="C28" s="693"/>
      <c r="D28" s="693"/>
      <c r="E28" s="433">
        <f>+'PRES GENERAL MR'!P40</f>
        <v>0</v>
      </c>
      <c r="F28" s="434"/>
      <c r="G28" s="434"/>
      <c r="H28" s="434"/>
      <c r="I28" s="434"/>
      <c r="J28" s="434"/>
      <c r="K28" s="434"/>
      <c r="L28" s="434"/>
      <c r="M28" s="434"/>
      <c r="N28" s="434"/>
      <c r="O28" s="169"/>
      <c r="P28" s="156"/>
      <c r="Q28" s="116"/>
    </row>
    <row r="29" spans="1:17" ht="19.899999999999999" customHeight="1">
      <c r="A29" s="703" t="s">
        <v>556</v>
      </c>
      <c r="B29" s="693"/>
      <c r="C29" s="693"/>
      <c r="D29" s="693"/>
      <c r="E29" s="240" t="e">
        <f>+'PRES GENERAL MR'!#REF!</f>
        <v>#REF!</v>
      </c>
      <c r="F29" s="117"/>
      <c r="G29" s="117"/>
      <c r="H29" s="117"/>
      <c r="I29" s="117"/>
      <c r="J29" s="117"/>
      <c r="K29" s="117"/>
      <c r="L29" s="117"/>
      <c r="M29" s="117"/>
      <c r="N29" s="117"/>
      <c r="O29" s="117"/>
      <c r="P29" s="156"/>
      <c r="Q29" s="116"/>
    </row>
    <row r="30" spans="1:17" ht="19.899999999999999" customHeight="1">
      <c r="A30" s="692" t="e">
        <f>+'PRES GENERAL MR'!#REF!</f>
        <v>#REF!</v>
      </c>
      <c r="B30" s="693"/>
      <c r="C30" s="693"/>
      <c r="D30" s="693"/>
      <c r="E30" s="436" t="e">
        <f>+'PRES GENERAL MR'!#REF!</f>
        <v>#REF!</v>
      </c>
      <c r="F30" s="434"/>
      <c r="G30" s="434"/>
      <c r="H30" s="434"/>
      <c r="I30" s="434"/>
      <c r="J30" s="434"/>
      <c r="K30" s="434"/>
      <c r="L30" s="434"/>
      <c r="M30" s="434"/>
      <c r="N30" s="434"/>
      <c r="O30" s="169"/>
      <c r="P30" s="156"/>
      <c r="Q30" s="116"/>
    </row>
    <row r="31" spans="1:17" ht="19.899999999999999" customHeight="1">
      <c r="A31" s="703" t="s">
        <v>1227</v>
      </c>
      <c r="B31" s="693"/>
      <c r="C31" s="693"/>
      <c r="D31" s="693"/>
      <c r="E31" s="240">
        <f>+'PRES GENERAL MR'!P41</f>
        <v>0</v>
      </c>
      <c r="F31" s="117"/>
      <c r="G31" s="117"/>
      <c r="H31" s="117"/>
      <c r="I31" s="117"/>
      <c r="J31" s="117"/>
      <c r="K31" s="117"/>
      <c r="L31" s="117"/>
      <c r="M31" s="117"/>
      <c r="N31" s="117"/>
      <c r="O31" s="117"/>
      <c r="P31" s="156"/>
      <c r="Q31" s="116"/>
    </row>
    <row r="32" spans="1:17" ht="19.899999999999999" customHeight="1">
      <c r="A32" s="700" t="s">
        <v>1228</v>
      </c>
      <c r="B32" s="693"/>
      <c r="C32" s="693"/>
      <c r="D32" s="693"/>
      <c r="E32" s="437"/>
      <c r="F32" s="438"/>
      <c r="G32" s="438"/>
      <c r="H32" s="438"/>
      <c r="I32" s="438"/>
      <c r="J32" s="438"/>
      <c r="K32" s="438"/>
      <c r="L32" s="438"/>
      <c r="M32" s="438"/>
      <c r="N32" s="438"/>
      <c r="O32" s="438"/>
      <c r="P32" s="113"/>
    </row>
    <row r="33" spans="1:16" ht="19.899999999999999" customHeight="1" thickBot="1">
      <c r="A33" s="701" t="s">
        <v>1229</v>
      </c>
      <c r="B33" s="702"/>
      <c r="C33" s="702"/>
      <c r="D33" s="702"/>
      <c r="E33" s="130"/>
      <c r="F33" s="131"/>
      <c r="G33" s="131"/>
      <c r="H33" s="131"/>
      <c r="I33" s="131"/>
      <c r="J33" s="131"/>
      <c r="K33" s="131"/>
      <c r="L33" s="131"/>
      <c r="M33" s="131"/>
      <c r="N33" s="131"/>
      <c r="O33" s="131"/>
      <c r="P33" s="113"/>
    </row>
    <row r="34" spans="1:16" ht="19.899999999999999" customHeight="1">
      <c r="A34" s="118"/>
      <c r="B34" s="119"/>
      <c r="C34" s="113"/>
      <c r="D34" s="113"/>
      <c r="E34" s="113"/>
      <c r="F34" s="113"/>
      <c r="G34" s="113"/>
      <c r="H34" s="113"/>
      <c r="I34" s="113"/>
      <c r="J34" s="113"/>
      <c r="K34" s="113"/>
      <c r="L34" s="113"/>
      <c r="M34" s="113"/>
      <c r="N34" s="113"/>
      <c r="O34" s="113"/>
      <c r="P34" s="113"/>
    </row>
    <row r="35" spans="1:16" ht="19.899999999999999" customHeight="1">
      <c r="A35" s="241"/>
      <c r="B35" s="119"/>
      <c r="P35" s="113"/>
    </row>
    <row r="36" spans="1:16" ht="19.899999999999999" customHeight="1">
      <c r="A36" s="241"/>
      <c r="B36" s="120"/>
      <c r="P36" s="113"/>
    </row>
    <row r="37" spans="1:16" ht="19.899999999999999" customHeight="1">
      <c r="A37" s="120"/>
      <c r="B37" s="120"/>
      <c r="P37" s="113"/>
    </row>
    <row r="38" spans="1:16" ht="19.899999999999999" customHeight="1">
      <c r="A38" s="120"/>
      <c r="B38" s="121"/>
      <c r="P38" s="113"/>
    </row>
    <row r="39" spans="1:16" ht="15.5">
      <c r="A39" s="120"/>
      <c r="B39" s="121"/>
      <c r="E39" s="116"/>
      <c r="P39" s="113"/>
    </row>
    <row r="40" spans="1:16" ht="19.899999999999999" customHeight="1">
      <c r="A40" s="122"/>
      <c r="B40" s="122"/>
      <c r="P40" s="113"/>
    </row>
    <row r="41" spans="1:16" ht="19.899999999999999" customHeight="1">
      <c r="P41" s="113"/>
    </row>
    <row r="42" spans="1:16" ht="19.899999999999999" customHeight="1">
      <c r="P42" s="113"/>
    </row>
    <row r="43" spans="1:16" ht="19.899999999999999" customHeight="1">
      <c r="P43" s="113"/>
    </row>
    <row r="44" spans="1:16" ht="19.899999999999999" customHeight="1">
      <c r="P44" s="113"/>
    </row>
    <row r="45" spans="1:16" ht="19.899999999999999" customHeight="1">
      <c r="P45" s="113"/>
    </row>
  </sheetData>
  <mergeCells count="14">
    <mergeCell ref="A32:D32"/>
    <mergeCell ref="A33:D33"/>
    <mergeCell ref="A28:D28"/>
    <mergeCell ref="A29:D29"/>
    <mergeCell ref="A31:D31"/>
    <mergeCell ref="A30:D30"/>
    <mergeCell ref="A27:D27"/>
    <mergeCell ref="A1:O1"/>
    <mergeCell ref="A2:O2"/>
    <mergeCell ref="A23:D23"/>
    <mergeCell ref="A22:D22"/>
    <mergeCell ref="A24:D24"/>
    <mergeCell ref="A25:D25"/>
    <mergeCell ref="A26:D26"/>
  </mergeCells>
  <phoneticPr fontId="32" type="noConversion"/>
  <printOptions horizontalCentered="1"/>
  <pageMargins left="0.31496062992125984" right="0.31496062992125984" top="0.74803149606299213" bottom="0.74803149606299213" header="0.31496062992125984" footer="0.31496062992125984"/>
  <pageSetup paperSize="66" scale="35" fitToWidth="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C888B-9243-4FC1-9357-3D559054E00D}">
  <dimension ref="A1:G37"/>
  <sheetViews>
    <sheetView zoomScale="70" zoomScaleNormal="70" workbookViewId="0">
      <selection activeCell="G37" sqref="G37"/>
    </sheetView>
  </sheetViews>
  <sheetFormatPr baseColWidth="10" defaultColWidth="8.81640625" defaultRowHeight="13"/>
  <cols>
    <col min="1" max="1" width="22" style="292" customWidth="1"/>
    <col min="2" max="2" width="115.26953125" style="292" customWidth="1"/>
    <col min="3" max="3" width="17.26953125" style="292" customWidth="1"/>
    <col min="4" max="4" width="16.26953125" style="292" customWidth="1"/>
    <col min="5" max="5" width="25.54296875" style="292" customWidth="1"/>
    <col min="6" max="6" width="23.26953125" style="292" customWidth="1"/>
    <col min="7" max="7" width="51.26953125" style="292" customWidth="1"/>
    <col min="8" max="16384" width="8.81640625" style="292"/>
  </cols>
  <sheetData>
    <row r="1" spans="1:7" ht="61.9" customHeight="1">
      <c r="A1" s="636"/>
      <c r="B1" s="638" t="s">
        <v>350</v>
      </c>
      <c r="C1" s="639"/>
      <c r="D1" s="639"/>
      <c r="E1" s="639"/>
      <c r="F1" s="639"/>
      <c r="G1" s="640"/>
    </row>
    <row r="2" spans="1:7" ht="15.75" customHeight="1">
      <c r="A2" s="637"/>
      <c r="B2" s="614" t="s">
        <v>351</v>
      </c>
      <c r="C2" s="641"/>
      <c r="D2" s="641"/>
      <c r="E2" s="641"/>
      <c r="F2" s="641"/>
      <c r="G2" s="615"/>
    </row>
    <row r="3" spans="1:7" ht="15.75" customHeight="1">
      <c r="A3" s="614" t="s">
        <v>352</v>
      </c>
      <c r="B3" s="641"/>
      <c r="C3" s="641"/>
      <c r="D3" s="641"/>
      <c r="E3" s="615"/>
      <c r="F3" s="293" t="s">
        <v>353</v>
      </c>
      <c r="G3" s="294">
        <v>660</v>
      </c>
    </row>
    <row r="4" spans="1:7" ht="15.75" customHeight="1">
      <c r="A4" s="293" t="s">
        <v>354</v>
      </c>
      <c r="B4" s="293" t="s">
        <v>355</v>
      </c>
      <c r="C4" s="293" t="s">
        <v>356</v>
      </c>
      <c r="D4" s="293" t="s">
        <v>357</v>
      </c>
      <c r="E4" s="293" t="s">
        <v>358</v>
      </c>
      <c r="F4" s="293" t="s">
        <v>359</v>
      </c>
      <c r="G4" s="293" t="s">
        <v>360</v>
      </c>
    </row>
    <row r="5" spans="1:7" ht="27" customHeight="1">
      <c r="A5" s="295"/>
      <c r="B5" s="642" t="s">
        <v>361</v>
      </c>
      <c r="C5" s="643"/>
      <c r="D5" s="643"/>
      <c r="E5" s="643"/>
      <c r="F5" s="644"/>
      <c r="G5" s="296"/>
    </row>
    <row r="6" spans="1:7" ht="16.5" customHeight="1">
      <c r="A6" s="297"/>
      <c r="B6" s="298" t="s">
        <v>362</v>
      </c>
      <c r="C6" s="299" t="s">
        <v>363</v>
      </c>
      <c r="D6" s="300">
        <v>3</v>
      </c>
      <c r="E6" s="301"/>
      <c r="F6" s="302"/>
      <c r="G6" s="303"/>
    </row>
    <row r="7" spans="1:7" ht="16.5" customHeight="1">
      <c r="A7" s="297"/>
      <c r="B7" s="298" t="s">
        <v>364</v>
      </c>
      <c r="C7" s="299" t="s">
        <v>365</v>
      </c>
      <c r="D7" s="300">
        <v>90</v>
      </c>
      <c r="E7" s="301"/>
      <c r="F7" s="302"/>
      <c r="G7" s="303"/>
    </row>
    <row r="8" spans="1:7" ht="16.5" customHeight="1">
      <c r="A8" s="634">
        <v>1</v>
      </c>
      <c r="B8" s="298" t="s">
        <v>366</v>
      </c>
      <c r="C8" s="299" t="s">
        <v>363</v>
      </c>
      <c r="D8" s="300">
        <v>30</v>
      </c>
      <c r="E8" s="301"/>
      <c r="F8" s="302"/>
      <c r="G8" s="635">
        <f>SUM(F6:F14)</f>
        <v>0</v>
      </c>
    </row>
    <row r="9" spans="1:7" ht="16.5" customHeight="1">
      <c r="A9" s="634"/>
      <c r="B9" s="298" t="s">
        <v>367</v>
      </c>
      <c r="C9" s="299" t="s">
        <v>365</v>
      </c>
      <c r="D9" s="300">
        <v>30</v>
      </c>
      <c r="E9" s="301"/>
      <c r="F9" s="302"/>
      <c r="G9" s="635"/>
    </row>
    <row r="10" spans="1:7" ht="16.5" customHeight="1">
      <c r="A10" s="297"/>
      <c r="B10" s="298" t="s">
        <v>368</v>
      </c>
      <c r="C10" s="299" t="s">
        <v>363</v>
      </c>
      <c r="D10" s="300">
        <v>3</v>
      </c>
      <c r="E10" s="301"/>
      <c r="F10" s="302"/>
      <c r="G10" s="303"/>
    </row>
    <row r="11" spans="1:7" ht="16.5" customHeight="1">
      <c r="A11" s="297"/>
      <c r="B11" s="625" t="s">
        <v>369</v>
      </c>
      <c r="C11" s="627"/>
      <c r="D11" s="627"/>
      <c r="E11" s="627"/>
      <c r="F11" s="304"/>
      <c r="G11" s="303"/>
    </row>
    <row r="12" spans="1:7" ht="16.5" customHeight="1">
      <c r="A12" s="297"/>
      <c r="B12" s="626"/>
      <c r="C12" s="628"/>
      <c r="D12" s="628"/>
      <c r="E12" s="628"/>
      <c r="F12" s="305"/>
      <c r="G12" s="303"/>
    </row>
    <row r="13" spans="1:7" ht="15.75" customHeight="1">
      <c r="A13" s="297"/>
      <c r="B13" s="632" t="s">
        <v>370</v>
      </c>
      <c r="C13" s="627"/>
      <c r="D13" s="627"/>
      <c r="E13" s="627"/>
      <c r="F13" s="306"/>
      <c r="G13" s="303"/>
    </row>
    <row r="14" spans="1:7" ht="15.75" customHeight="1">
      <c r="A14" s="307"/>
      <c r="B14" s="633"/>
      <c r="C14" s="628"/>
      <c r="D14" s="628"/>
      <c r="E14" s="628"/>
      <c r="F14" s="308"/>
      <c r="G14" s="309"/>
    </row>
    <row r="15" spans="1:7" ht="28.15" customHeight="1">
      <c r="A15" s="295"/>
      <c r="B15" s="621" t="s">
        <v>371</v>
      </c>
      <c r="C15" s="622"/>
      <c r="D15" s="622"/>
      <c r="E15" s="622"/>
      <c r="F15" s="623"/>
      <c r="G15" s="296"/>
    </row>
    <row r="16" spans="1:7" ht="16.5" customHeight="1">
      <c r="A16" s="297"/>
      <c r="B16" s="310" t="s">
        <v>372</v>
      </c>
      <c r="C16" s="311" t="s">
        <v>373</v>
      </c>
      <c r="D16" s="312">
        <v>3</v>
      </c>
      <c r="E16" s="313"/>
      <c r="F16" s="313"/>
      <c r="G16" s="303"/>
    </row>
    <row r="17" spans="1:7" ht="16.5" customHeight="1">
      <c r="A17" s="297"/>
      <c r="B17" s="310" t="s">
        <v>374</v>
      </c>
      <c r="C17" s="311" t="s">
        <v>373</v>
      </c>
      <c r="D17" s="312">
        <v>3</v>
      </c>
      <c r="E17" s="313"/>
      <c r="F17" s="313"/>
      <c r="G17" s="303"/>
    </row>
    <row r="18" spans="1:7" ht="16.5" customHeight="1">
      <c r="A18" s="297"/>
      <c r="B18" s="310" t="s">
        <v>375</v>
      </c>
      <c r="C18" s="311" t="s">
        <v>376</v>
      </c>
      <c r="D18" s="312">
        <v>8</v>
      </c>
      <c r="E18" s="313"/>
      <c r="F18" s="313"/>
      <c r="G18" s="303"/>
    </row>
    <row r="19" spans="1:7" ht="16.5" customHeight="1">
      <c r="A19" s="624">
        <v>2</v>
      </c>
      <c r="B19" s="310" t="s">
        <v>377</v>
      </c>
      <c r="C19" s="311" t="s">
        <v>373</v>
      </c>
      <c r="D19" s="312">
        <v>3</v>
      </c>
      <c r="E19" s="313"/>
      <c r="F19" s="313"/>
      <c r="G19" s="631">
        <f>SUM(F16:F26)</f>
        <v>0</v>
      </c>
    </row>
    <row r="20" spans="1:7" ht="16.5" customHeight="1">
      <c r="A20" s="624"/>
      <c r="B20" s="310" t="s">
        <v>378</v>
      </c>
      <c r="C20" s="311" t="s">
        <v>373</v>
      </c>
      <c r="D20" s="312">
        <v>6</v>
      </c>
      <c r="E20" s="313"/>
      <c r="F20" s="313"/>
      <c r="G20" s="631"/>
    </row>
    <row r="21" spans="1:7" ht="16.5" customHeight="1">
      <c r="A21" s="297"/>
      <c r="B21" s="310" t="s">
        <v>379</v>
      </c>
      <c r="C21" s="311" t="s">
        <v>376</v>
      </c>
      <c r="D21" s="312">
        <v>6</v>
      </c>
      <c r="E21" s="313"/>
      <c r="F21" s="313"/>
      <c r="G21" s="303"/>
    </row>
    <row r="22" spans="1:7" ht="16.5" customHeight="1">
      <c r="A22" s="297"/>
      <c r="B22" s="310" t="s">
        <v>380</v>
      </c>
      <c r="C22" s="311" t="s">
        <v>376</v>
      </c>
      <c r="D22" s="312">
        <v>6</v>
      </c>
      <c r="E22" s="313"/>
      <c r="F22" s="313"/>
      <c r="G22" s="303"/>
    </row>
    <row r="23" spans="1:7" ht="16.5" customHeight="1">
      <c r="A23" s="297"/>
      <c r="B23" s="625" t="s">
        <v>369</v>
      </c>
      <c r="C23" s="627"/>
      <c r="D23" s="627"/>
      <c r="E23" s="627"/>
      <c r="F23" s="304"/>
      <c r="G23" s="303"/>
    </row>
    <row r="24" spans="1:7" ht="16.5" customHeight="1">
      <c r="A24" s="297"/>
      <c r="B24" s="626"/>
      <c r="C24" s="628"/>
      <c r="D24" s="628"/>
      <c r="E24" s="628"/>
      <c r="F24" s="305"/>
      <c r="G24" s="303"/>
    </row>
    <row r="25" spans="1:7" ht="16.5" customHeight="1">
      <c r="A25" s="297"/>
      <c r="B25" s="625" t="s">
        <v>381</v>
      </c>
      <c r="C25" s="627"/>
      <c r="D25" s="627"/>
      <c r="E25" s="627"/>
      <c r="F25" s="304"/>
      <c r="G25" s="303"/>
    </row>
    <row r="26" spans="1:7" ht="16.5" customHeight="1">
      <c r="A26" s="307"/>
      <c r="B26" s="626"/>
      <c r="C26" s="628"/>
      <c r="D26" s="628"/>
      <c r="E26" s="628"/>
      <c r="F26" s="305"/>
      <c r="G26" s="309"/>
    </row>
    <row r="27" spans="1:7" ht="33" customHeight="1">
      <c r="A27" s="629">
        <v>3</v>
      </c>
      <c r="B27" s="621" t="s">
        <v>382</v>
      </c>
      <c r="C27" s="622"/>
      <c r="D27" s="622"/>
      <c r="E27" s="622"/>
      <c r="F27" s="623"/>
      <c r="G27" s="618">
        <f>SUM(F28:F29)</f>
        <v>0</v>
      </c>
    </row>
    <row r="28" spans="1:7" ht="16.5" customHeight="1">
      <c r="A28" s="624"/>
      <c r="B28" s="310" t="s">
        <v>379</v>
      </c>
      <c r="C28" s="311" t="s">
        <v>376</v>
      </c>
      <c r="D28" s="312">
        <v>3</v>
      </c>
      <c r="E28" s="313"/>
      <c r="F28" s="313"/>
      <c r="G28" s="619"/>
    </row>
    <row r="29" spans="1:7" ht="16.5" customHeight="1">
      <c r="A29" s="630"/>
      <c r="B29" s="310" t="s">
        <v>383</v>
      </c>
      <c r="C29" s="311" t="s">
        <v>373</v>
      </c>
      <c r="D29" s="312">
        <v>3</v>
      </c>
      <c r="E29" s="313"/>
      <c r="F29" s="313"/>
      <c r="G29" s="620"/>
    </row>
    <row r="30" spans="1:7" ht="28.15" customHeight="1">
      <c r="A30" s="295"/>
      <c r="B30" s="621" t="s">
        <v>384</v>
      </c>
      <c r="C30" s="622"/>
      <c r="D30" s="622"/>
      <c r="E30" s="622"/>
      <c r="F30" s="623"/>
      <c r="G30" s="296"/>
    </row>
    <row r="31" spans="1:7" ht="16.5" customHeight="1">
      <c r="A31" s="624">
        <v>4</v>
      </c>
      <c r="B31" s="310" t="s">
        <v>385</v>
      </c>
      <c r="C31" s="311" t="s">
        <v>373</v>
      </c>
      <c r="D31" s="312">
        <v>9</v>
      </c>
      <c r="E31" s="313"/>
      <c r="F31" s="313"/>
      <c r="G31" s="619">
        <f>SUM(F31:F35)</f>
        <v>0</v>
      </c>
    </row>
    <row r="32" spans="1:7" ht="16.5" customHeight="1">
      <c r="A32" s="624"/>
      <c r="B32" s="310" t="s">
        <v>386</v>
      </c>
      <c r="C32" s="311" t="s">
        <v>387</v>
      </c>
      <c r="D32" s="312">
        <v>660</v>
      </c>
      <c r="E32" s="313"/>
      <c r="F32" s="313"/>
      <c r="G32" s="619"/>
    </row>
    <row r="33" spans="1:7" ht="16.5" customHeight="1">
      <c r="A33" s="297"/>
      <c r="B33" s="310" t="s">
        <v>388</v>
      </c>
      <c r="C33" s="311" t="s">
        <v>387</v>
      </c>
      <c r="D33" s="312">
        <v>30</v>
      </c>
      <c r="E33" s="313"/>
      <c r="F33" s="313"/>
      <c r="G33" s="303"/>
    </row>
    <row r="34" spans="1:7" ht="16.5" customHeight="1">
      <c r="A34" s="297"/>
      <c r="B34" s="625" t="s">
        <v>389</v>
      </c>
      <c r="C34" s="627"/>
      <c r="D34" s="627"/>
      <c r="E34" s="627"/>
      <c r="F34" s="304"/>
      <c r="G34" s="303"/>
    </row>
    <row r="35" spans="1:7" ht="16.5" customHeight="1">
      <c r="A35" s="307"/>
      <c r="B35" s="626"/>
      <c r="C35" s="628"/>
      <c r="D35" s="628"/>
      <c r="E35" s="628"/>
      <c r="F35" s="305"/>
      <c r="G35" s="309"/>
    </row>
    <row r="36" spans="1:7" ht="37.9" customHeight="1">
      <c r="A36" s="608"/>
      <c r="B36" s="609"/>
      <c r="C36" s="609"/>
      <c r="D36" s="610"/>
      <c r="E36" s="614" t="s">
        <v>390</v>
      </c>
      <c r="F36" s="615"/>
      <c r="G36" s="314">
        <f>SUM(G5:G35)</f>
        <v>0</v>
      </c>
    </row>
    <row r="37" spans="1:7" ht="15.75" customHeight="1">
      <c r="A37" s="611"/>
      <c r="B37" s="612"/>
      <c r="C37" s="612"/>
      <c r="D37" s="613"/>
      <c r="E37" s="616" t="s">
        <v>391</v>
      </c>
      <c r="F37" s="617"/>
      <c r="G37" s="315">
        <f>+G36/G3</f>
        <v>0</v>
      </c>
    </row>
  </sheetData>
  <mergeCells count="39">
    <mergeCell ref="A8:A9"/>
    <mergeCell ref="G8:G9"/>
    <mergeCell ref="A1:A2"/>
    <mergeCell ref="B1:G1"/>
    <mergeCell ref="B2:G2"/>
    <mergeCell ref="A3:E3"/>
    <mergeCell ref="B5:F5"/>
    <mergeCell ref="B11:B12"/>
    <mergeCell ref="C11:C12"/>
    <mergeCell ref="D11:D12"/>
    <mergeCell ref="E11:E12"/>
    <mergeCell ref="B13:B14"/>
    <mergeCell ref="C13:C14"/>
    <mergeCell ref="D13:D14"/>
    <mergeCell ref="E13:E14"/>
    <mergeCell ref="B15:F15"/>
    <mergeCell ref="A19:A20"/>
    <mergeCell ref="G19:G20"/>
    <mergeCell ref="B23:B24"/>
    <mergeCell ref="C23:C24"/>
    <mergeCell ref="D23:D24"/>
    <mergeCell ref="E23:E24"/>
    <mergeCell ref="B25:B26"/>
    <mergeCell ref="C25:C26"/>
    <mergeCell ref="D25:D26"/>
    <mergeCell ref="E25:E26"/>
    <mergeCell ref="A27:A29"/>
    <mergeCell ref="B27:F27"/>
    <mergeCell ref="A36:D37"/>
    <mergeCell ref="E36:F36"/>
    <mergeCell ref="E37:F37"/>
    <mergeCell ref="G27:G29"/>
    <mergeCell ref="B30:F30"/>
    <mergeCell ref="A31:A32"/>
    <mergeCell ref="G31:G32"/>
    <mergeCell ref="B34:B35"/>
    <mergeCell ref="C34:C35"/>
    <mergeCell ref="D34:D35"/>
    <mergeCell ref="E34:E3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81B18-85E4-4054-9306-83F0F3F06D44}">
  <sheetPr>
    <tabColor rgb="FFFF0000"/>
    <pageSetUpPr fitToPage="1"/>
  </sheetPr>
  <dimension ref="A1:R58"/>
  <sheetViews>
    <sheetView view="pageBreakPreview" zoomScale="70" zoomScaleNormal="70" zoomScaleSheetLayoutView="70" workbookViewId="0">
      <selection activeCell="B51" sqref="B51"/>
    </sheetView>
  </sheetViews>
  <sheetFormatPr baseColWidth="10" defaultColWidth="11.453125" defaultRowHeight="12.5"/>
  <cols>
    <col min="1" max="1" width="6.26953125" customWidth="1"/>
    <col min="2" max="2" width="74.1796875" customWidth="1"/>
    <col min="3" max="3" width="8.453125" customWidth="1"/>
    <col min="4" max="4" width="11" customWidth="1"/>
    <col min="5" max="10" width="19.26953125" hidden="1" customWidth="1"/>
    <col min="11" max="11" width="21.7265625" customWidth="1"/>
    <col min="12" max="15" width="19.26953125" customWidth="1"/>
    <col min="16" max="16" width="27.54296875" customWidth="1"/>
    <col min="17" max="17" width="22" customWidth="1"/>
    <col min="18" max="18" width="17.26953125" customWidth="1"/>
    <col min="19" max="19" width="15" bestFit="1" customWidth="1"/>
  </cols>
  <sheetData>
    <row r="1" spans="1:18" s="24" customFormat="1" ht="30" customHeight="1">
      <c r="A1" s="535" t="str">
        <f>+'PRES GENERAL MR'!A1</f>
        <v>IMPLEMENTACIÓN DE SOLUCIONES ENERGÉTICAS SOSTENIBLES CON FUENTES NO CONVENCIONALES, PARA LAS COMUNIDADES RURALES DEL MUNICIPIO DE PLATO, DEPARTAMENTO MAGDALENA.</v>
      </c>
      <c r="B1" s="536"/>
      <c r="C1" s="536"/>
      <c r="D1" s="536"/>
      <c r="E1" s="536"/>
      <c r="F1" s="536"/>
      <c r="G1" s="536"/>
      <c r="H1" s="536"/>
      <c r="I1" s="536"/>
      <c r="J1" s="536"/>
      <c r="K1" s="536"/>
      <c r="L1" s="536"/>
      <c r="M1" s="536"/>
      <c r="N1" s="536"/>
      <c r="O1" s="536"/>
      <c r="P1" s="537"/>
    </row>
    <row r="2" spans="1:18" s="26" customFormat="1" ht="15" customHeight="1">
      <c r="A2" s="538" t="s">
        <v>486</v>
      </c>
      <c r="B2" s="538" t="s">
        <v>487</v>
      </c>
      <c r="C2" s="538" t="s">
        <v>87</v>
      </c>
      <c r="D2" s="538" t="s">
        <v>488</v>
      </c>
      <c r="E2" s="539" t="s">
        <v>489</v>
      </c>
      <c r="F2" s="540"/>
      <c r="G2" s="540"/>
      <c r="H2" s="540"/>
      <c r="I2" s="540"/>
      <c r="J2" s="541"/>
      <c r="K2" s="542" t="s">
        <v>490</v>
      </c>
      <c r="L2" s="543"/>
      <c r="M2" s="543"/>
      <c r="N2" s="543"/>
      <c r="O2" s="543"/>
      <c r="P2" s="544"/>
    </row>
    <row r="3" spans="1:18" s="26" customFormat="1" ht="40.15" customHeight="1">
      <c r="A3" s="538"/>
      <c r="B3" s="538"/>
      <c r="C3" s="538"/>
      <c r="D3" s="538"/>
      <c r="E3" s="381" t="s">
        <v>282</v>
      </c>
      <c r="F3" s="381" t="s">
        <v>491</v>
      </c>
      <c r="G3" s="381" t="s">
        <v>492</v>
      </c>
      <c r="H3" s="381" t="s">
        <v>493</v>
      </c>
      <c r="I3" s="381" t="s">
        <v>494</v>
      </c>
      <c r="J3" s="27" t="s">
        <v>495</v>
      </c>
      <c r="K3" s="381" t="s">
        <v>282</v>
      </c>
      <c r="L3" s="381" t="s">
        <v>491</v>
      </c>
      <c r="M3" s="381" t="s">
        <v>492</v>
      </c>
      <c r="N3" s="381" t="s">
        <v>493</v>
      </c>
      <c r="O3" s="381" t="s">
        <v>494</v>
      </c>
      <c r="P3" s="27" t="s">
        <v>496</v>
      </c>
    </row>
    <row r="4" spans="1:18" s="18" customFormat="1" ht="13">
      <c r="A4" s="382">
        <v>1</v>
      </c>
      <c r="B4" s="383" t="s">
        <v>497</v>
      </c>
      <c r="C4" s="384"/>
      <c r="D4" s="384"/>
      <c r="E4" s="384"/>
      <c r="F4" s="384"/>
      <c r="G4" s="384"/>
      <c r="H4" s="384"/>
      <c r="I4" s="384"/>
      <c r="J4" s="384"/>
      <c r="K4" s="385">
        <f>+K5*(1+'PRES GENERAL MR'!$J$36)</f>
        <v>0</v>
      </c>
      <c r="L4" s="385">
        <f>+L5*(1+'PRES GENERAL MR'!$J$36)</f>
        <v>0</v>
      </c>
      <c r="M4" s="385">
        <f>+M5*(1+'PRES GENERAL MR'!$J$36)</f>
        <v>0</v>
      </c>
      <c r="N4" s="385" t="e">
        <f>+N5*(1+'PRES GENERAL MR'!$J$36)</f>
        <v>#DIV/0!</v>
      </c>
      <c r="O4" s="385" t="e">
        <f>+O5*(1+'PRES GENERAL MR'!$J$36)</f>
        <v>#DIV/0!</v>
      </c>
      <c r="P4" s="386" t="e">
        <f>SUM(K4:O4)</f>
        <v>#DIV/0!</v>
      </c>
    </row>
    <row r="5" spans="1:18" s="18" customFormat="1" hidden="1">
      <c r="A5" s="244" t="s">
        <v>498</v>
      </c>
      <c r="B5" s="245" t="s">
        <v>499</v>
      </c>
      <c r="C5" s="244" t="s">
        <v>92</v>
      </c>
      <c r="D5" s="246">
        <f>+Usuarios!$C$7</f>
        <v>660</v>
      </c>
      <c r="E5" s="247">
        <f>+'1.1'!F13</f>
        <v>0</v>
      </c>
      <c r="F5" s="247">
        <f>+'1.1'!F20</f>
        <v>0</v>
      </c>
      <c r="G5" s="247">
        <f>+'1.1'!F26</f>
        <v>0</v>
      </c>
      <c r="H5" s="247" t="e">
        <f>+'1.1'!F30</f>
        <v>#DIV/0!</v>
      </c>
      <c r="I5" s="247" t="e">
        <f>+'1.1'!F31</f>
        <v>#DIV/0!</v>
      </c>
      <c r="J5" s="247" t="e">
        <f>SUM(E5:I5)</f>
        <v>#DIV/0!</v>
      </c>
      <c r="K5" s="247">
        <f t="shared" ref="K5" si="0">+$D5*E5</f>
        <v>0</v>
      </c>
      <c r="L5" s="247">
        <f>+$D5*F5</f>
        <v>0</v>
      </c>
      <c r="M5" s="247">
        <f>+$D5*G5</f>
        <v>0</v>
      </c>
      <c r="N5" s="247" t="e">
        <f t="shared" ref="N5:O5" si="1">+$D5*H5</f>
        <v>#DIV/0!</v>
      </c>
      <c r="O5" s="247" t="e">
        <f t="shared" si="1"/>
        <v>#DIV/0!</v>
      </c>
      <c r="P5" s="247" t="e">
        <f>ROUND(J5*D5,0)</f>
        <v>#DIV/0!</v>
      </c>
    </row>
    <row r="6" spans="1:18" s="18" customFormat="1" ht="13">
      <c r="A6" s="382">
        <v>2</v>
      </c>
      <c r="B6" s="387" t="s">
        <v>500</v>
      </c>
      <c r="C6" s="384"/>
      <c r="D6" s="384"/>
      <c r="E6" s="384"/>
      <c r="F6" s="384"/>
      <c r="G6" s="384"/>
      <c r="H6" s="384"/>
      <c r="I6" s="384"/>
      <c r="J6" s="384"/>
      <c r="K6" s="385">
        <f>+SUM(K7:K10)*(1+'PRES GENERAL MR'!$J$36)</f>
        <v>0</v>
      </c>
      <c r="L6" s="385">
        <f>+SUM(L7:L10)*(1+'PRES GENERAL MR'!$J$36)</f>
        <v>0</v>
      </c>
      <c r="M6" s="385">
        <f>+SUM(M7:M10)*(1+'PRES GENERAL MR'!$J$36)</f>
        <v>0</v>
      </c>
      <c r="N6" s="385">
        <f>+SUM(N7:N10)*(1+'PRES GENERAL MR'!$J$36)</f>
        <v>0</v>
      </c>
      <c r="O6" s="385">
        <f>+SUM(O7:O10)*(1+'PRES GENERAL MR'!$J$36)</f>
        <v>0</v>
      </c>
      <c r="P6" s="386">
        <f>SUM(K6:O6)</f>
        <v>0</v>
      </c>
    </row>
    <row r="7" spans="1:18" s="18" customFormat="1" hidden="1">
      <c r="A7" s="244" t="s">
        <v>501</v>
      </c>
      <c r="B7" s="245" t="s">
        <v>502</v>
      </c>
      <c r="C7" s="244" t="s">
        <v>92</v>
      </c>
      <c r="D7" s="246">
        <f>+Usuarios!$J$7</f>
        <v>649</v>
      </c>
      <c r="E7" s="247">
        <f>+SUM('PRES. SISFV 2010wp'!K6:K12)</f>
        <v>0</v>
      </c>
      <c r="F7" s="247">
        <f>+SUM('PRES. SISFV 2010wp'!L6:L12)</f>
        <v>0</v>
      </c>
      <c r="G7" s="247">
        <f>+SUM('PRES. SISFV 2010wp'!M6:M12)</f>
        <v>0</v>
      </c>
      <c r="H7" s="247">
        <f>+SUM('PRES. SISFV 2010wp'!N6:N12)</f>
        <v>0</v>
      </c>
      <c r="I7" s="247">
        <f>+SUM('PRES. SISFV 2010wp'!O6:O12)</f>
        <v>0</v>
      </c>
      <c r="J7" s="247">
        <f t="shared" ref="J7:J9" si="2">SUM(E7:I7)</f>
        <v>0</v>
      </c>
      <c r="K7" s="247">
        <f t="shared" ref="K7:M9" si="3">+$D7*E7</f>
        <v>0</v>
      </c>
      <c r="L7" s="247">
        <f>+$D7*F7</f>
        <v>0</v>
      </c>
      <c r="M7" s="247">
        <f>+$D7*G7</f>
        <v>0</v>
      </c>
      <c r="N7" s="247">
        <f t="shared" ref="N7:O9" si="4">+$D7*H7</f>
        <v>0</v>
      </c>
      <c r="O7" s="247">
        <f t="shared" si="4"/>
        <v>0</v>
      </c>
      <c r="P7" s="247">
        <f>ROUND(J7*D7,0)</f>
        <v>0</v>
      </c>
    </row>
    <row r="8" spans="1:18" s="18" customFormat="1" hidden="1">
      <c r="A8" s="244" t="s">
        <v>503</v>
      </c>
      <c r="B8" s="245" t="s">
        <v>504</v>
      </c>
      <c r="C8" s="244" t="s">
        <v>92</v>
      </c>
      <c r="D8" s="246">
        <f>+Usuarios!$J$7</f>
        <v>649</v>
      </c>
      <c r="E8" s="247">
        <f>+SUM('PRES. SISFV 2010wp'!K14:K15)</f>
        <v>0</v>
      </c>
      <c r="F8" s="247">
        <f>+SUM('PRES. SISFV 2010wp'!L14:L15)</f>
        <v>0</v>
      </c>
      <c r="G8" s="247">
        <f>+SUM('PRES. SISFV 2010wp'!M14:M15)</f>
        <v>0</v>
      </c>
      <c r="H8" s="247">
        <f>+SUM('PRES. SISFV 2010wp'!N14:N15)</f>
        <v>0</v>
      </c>
      <c r="I8" s="247">
        <f>+SUM('PRES. SISFV 2010wp'!O14:O15)</f>
        <v>0</v>
      </c>
      <c r="J8" s="247">
        <f t="shared" si="2"/>
        <v>0</v>
      </c>
      <c r="K8" s="247">
        <f t="shared" si="3"/>
        <v>0</v>
      </c>
      <c r="L8" s="247">
        <f t="shared" si="3"/>
        <v>0</v>
      </c>
      <c r="M8" s="247">
        <f t="shared" si="3"/>
        <v>0</v>
      </c>
      <c r="N8" s="247">
        <f t="shared" si="4"/>
        <v>0</v>
      </c>
      <c r="O8" s="247">
        <f t="shared" si="4"/>
        <v>0</v>
      </c>
      <c r="P8" s="247">
        <f t="shared" ref="P8:P10" si="5">ROUND(J8*D8,0)</f>
        <v>0</v>
      </c>
    </row>
    <row r="9" spans="1:18" s="18" customFormat="1" hidden="1">
      <c r="A9" s="244" t="s">
        <v>505</v>
      </c>
      <c r="B9" s="245" t="s">
        <v>506</v>
      </c>
      <c r="C9" s="244" t="s">
        <v>92</v>
      </c>
      <c r="D9" s="246">
        <f>+Usuarios!$J$7</f>
        <v>649</v>
      </c>
      <c r="E9" s="247">
        <f>+'PRES. SISFV 2010wp'!K17</f>
        <v>0</v>
      </c>
      <c r="F9" s="247">
        <f>+'PRES. SISFV 2010wp'!L17</f>
        <v>0</v>
      </c>
      <c r="G9" s="247">
        <f>+'PRES. SISFV 2010wp'!M17</f>
        <v>0</v>
      </c>
      <c r="H9" s="247">
        <f>+'PRES. SISFV 2010wp'!N17</f>
        <v>0</v>
      </c>
      <c r="I9" s="247">
        <f>+'PRES. SISFV 2010wp'!O17</f>
        <v>0</v>
      </c>
      <c r="J9" s="247">
        <f t="shared" si="2"/>
        <v>0</v>
      </c>
      <c r="K9" s="247">
        <f t="shared" si="3"/>
        <v>0</v>
      </c>
      <c r="L9" s="247">
        <f t="shared" si="3"/>
        <v>0</v>
      </c>
      <c r="M9" s="247">
        <f t="shared" si="3"/>
        <v>0</v>
      </c>
      <c r="N9" s="247">
        <f t="shared" si="4"/>
        <v>0</v>
      </c>
      <c r="O9" s="247">
        <f t="shared" si="4"/>
        <v>0</v>
      </c>
      <c r="P9" s="247">
        <f t="shared" si="5"/>
        <v>0</v>
      </c>
    </row>
    <row r="10" spans="1:18" s="18" customFormat="1" hidden="1">
      <c r="A10" s="244" t="s">
        <v>507</v>
      </c>
      <c r="B10" s="245" t="s">
        <v>508</v>
      </c>
      <c r="C10" s="244" t="s">
        <v>92</v>
      </c>
      <c r="D10" s="246">
        <f>+Usuarios!$J$7</f>
        <v>649</v>
      </c>
      <c r="E10" s="247">
        <f>+'PRES. SISFV 2010wp'!K19</f>
        <v>0</v>
      </c>
      <c r="F10" s="247">
        <f>+'PRES. SISFV 2010wp'!L19</f>
        <v>0</v>
      </c>
      <c r="G10" s="247">
        <f>+'PRES. SISFV 2010wp'!M19</f>
        <v>0</v>
      </c>
      <c r="H10" s="247">
        <f>+'PRES. SISFV 2010wp'!N19</f>
        <v>0</v>
      </c>
      <c r="I10" s="247">
        <f>+'PRES. SISFV 2010wp'!O19</f>
        <v>0</v>
      </c>
      <c r="J10" s="247">
        <f t="shared" ref="J10" si="6">SUM(E10:I10)</f>
        <v>0</v>
      </c>
      <c r="K10" s="247">
        <f>+$D10*E10</f>
        <v>0</v>
      </c>
      <c r="L10" s="247">
        <f>+$D10*F10</f>
        <v>0</v>
      </c>
      <c r="M10" s="247">
        <f>+$D10*G10</f>
        <v>0</v>
      </c>
      <c r="N10" s="247">
        <f>+$D10*H10</f>
        <v>0</v>
      </c>
      <c r="O10" s="247">
        <f>+$D10*I10</f>
        <v>0</v>
      </c>
      <c r="P10" s="247">
        <f t="shared" si="5"/>
        <v>0</v>
      </c>
    </row>
    <row r="11" spans="1:18" s="18" customFormat="1" ht="13">
      <c r="A11" s="382">
        <v>3</v>
      </c>
      <c r="B11" s="383" t="s">
        <v>509</v>
      </c>
      <c r="C11" s="384"/>
      <c r="D11" s="384"/>
      <c r="E11" s="384"/>
      <c r="F11" s="384"/>
      <c r="G11" s="384"/>
      <c r="H11" s="384"/>
      <c r="I11" s="384"/>
      <c r="J11" s="384"/>
      <c r="K11" s="385">
        <f>+SUM(K12:K16)*(1+'PRES GENERAL MR'!$J$36)</f>
        <v>0</v>
      </c>
      <c r="L11" s="385">
        <f>+SUM(L12:L16)*(1+'PRES GENERAL MR'!$J$36)</f>
        <v>0</v>
      </c>
      <c r="M11" s="385">
        <f>+SUM(M12:M16)*(1+'PRES GENERAL MR'!$J$36)</f>
        <v>0</v>
      </c>
      <c r="N11" s="385">
        <f>+SUM(N12:N16)*(1+'PRES GENERAL MR'!$J$36)</f>
        <v>0</v>
      </c>
      <c r="O11" s="385">
        <f>+SUM(O12:O16)*(1+'PRES GENERAL MR'!$J$36)</f>
        <v>0</v>
      </c>
      <c r="P11" s="386">
        <f>SUM(K11:O11)</f>
        <v>0</v>
      </c>
      <c r="R11" s="28"/>
    </row>
    <row r="12" spans="1:18" s="18" customFormat="1" hidden="1">
      <c r="A12" s="244" t="s">
        <v>510</v>
      </c>
      <c r="B12" s="245" t="s">
        <v>511</v>
      </c>
      <c r="C12" s="244" t="s">
        <v>92</v>
      </c>
      <c r="D12" s="246">
        <f>+Usuarios!$H$7</f>
        <v>2</v>
      </c>
      <c r="E12" s="247">
        <f>+SUM('PRES MR 5 KW'!K6:K19)</f>
        <v>0</v>
      </c>
      <c r="F12" s="247">
        <f>+SUM('PRES MR 5 KW'!L6:L19)</f>
        <v>0</v>
      </c>
      <c r="G12" s="247">
        <f>+SUM('PRES MR 5 KW'!M6:M19)</f>
        <v>0</v>
      </c>
      <c r="H12" s="247">
        <f>+SUM('PRES MR 5 KW'!N6:N19)</f>
        <v>0</v>
      </c>
      <c r="I12" s="247">
        <f>+SUM('PRES MR 5 KW'!O6:O19)</f>
        <v>0</v>
      </c>
      <c r="J12" s="247">
        <f t="shared" ref="J12:J16" si="7">SUM(E12:I12)</f>
        <v>0</v>
      </c>
      <c r="K12" s="247">
        <f t="shared" ref="K12:O16" si="8">+$D12*E12</f>
        <v>0</v>
      </c>
      <c r="L12" s="247">
        <f t="shared" si="8"/>
        <v>0</v>
      </c>
      <c r="M12" s="247">
        <f t="shared" si="8"/>
        <v>0</v>
      </c>
      <c r="N12" s="247">
        <f t="shared" si="8"/>
        <v>0</v>
      </c>
      <c r="O12" s="247">
        <f t="shared" si="8"/>
        <v>0</v>
      </c>
      <c r="P12" s="247">
        <f t="shared" ref="P12:P16" si="9">ROUND(J12*D12,0)</f>
        <v>0</v>
      </c>
      <c r="R12" s="28"/>
    </row>
    <row r="13" spans="1:18" s="18" customFormat="1" ht="25" hidden="1">
      <c r="A13" s="244" t="s">
        <v>512</v>
      </c>
      <c r="B13" s="245" t="s">
        <v>513</v>
      </c>
      <c r="C13" s="244" t="s">
        <v>92</v>
      </c>
      <c r="D13" s="246">
        <f>+Usuarios!$H$7</f>
        <v>2</v>
      </c>
      <c r="E13" s="247">
        <f>+SUM('PRES MR 5 KW'!K21:K32)</f>
        <v>0</v>
      </c>
      <c r="F13" s="247">
        <f>+SUM('PRES MR 5 KW'!L21:L32)</f>
        <v>0</v>
      </c>
      <c r="G13" s="247">
        <f>+SUM('PRES MR 5 KW'!M21:M32)</f>
        <v>0</v>
      </c>
      <c r="H13" s="247">
        <f>+SUM('PRES MR 5 KW'!N21:N32)</f>
        <v>0</v>
      </c>
      <c r="I13" s="247">
        <f>+SUM('PRES MR 5 KW'!O21:O32)</f>
        <v>0</v>
      </c>
      <c r="J13" s="247">
        <f t="shared" si="7"/>
        <v>0</v>
      </c>
      <c r="K13" s="247">
        <f t="shared" si="8"/>
        <v>0</v>
      </c>
      <c r="L13" s="247">
        <f t="shared" si="8"/>
        <v>0</v>
      </c>
      <c r="M13" s="247">
        <f t="shared" si="8"/>
        <v>0</v>
      </c>
      <c r="N13" s="247">
        <f t="shared" si="8"/>
        <v>0</v>
      </c>
      <c r="O13" s="247">
        <f t="shared" si="8"/>
        <v>0</v>
      </c>
      <c r="P13" s="247">
        <f t="shared" si="9"/>
        <v>0</v>
      </c>
    </row>
    <row r="14" spans="1:18" s="18" customFormat="1" hidden="1">
      <c r="A14" s="244" t="s">
        <v>514</v>
      </c>
      <c r="B14" s="245" t="s">
        <v>515</v>
      </c>
      <c r="C14" s="244" t="s">
        <v>92</v>
      </c>
      <c r="D14" s="246">
        <f>+Usuarios!$I$7</f>
        <v>11</v>
      </c>
      <c r="E14" s="247">
        <f>+SUM('PRES MR 5 KW'!K34:K34)</f>
        <v>0</v>
      </c>
      <c r="F14" s="247">
        <f>+SUM('PRES MR 5 KW'!L34:L34)</f>
        <v>0</v>
      </c>
      <c r="G14" s="247">
        <f>+SUM('PRES MR 5 KW'!M34:M34)</f>
        <v>0</v>
      </c>
      <c r="H14" s="247">
        <f>+SUM('PRES MR 5 KW'!N34:N34)</f>
        <v>0</v>
      </c>
      <c r="I14" s="247">
        <f>+SUM('PRES MR 5 KW'!O34:O34)</f>
        <v>0</v>
      </c>
      <c r="J14" s="247">
        <f t="shared" si="7"/>
        <v>0</v>
      </c>
      <c r="K14" s="247">
        <f t="shared" si="8"/>
        <v>0</v>
      </c>
      <c r="L14" s="247">
        <f t="shared" si="8"/>
        <v>0</v>
      </c>
      <c r="M14" s="247">
        <f t="shared" si="8"/>
        <v>0</v>
      </c>
      <c r="N14" s="247">
        <f t="shared" si="8"/>
        <v>0</v>
      </c>
      <c r="O14" s="247">
        <f t="shared" si="8"/>
        <v>0</v>
      </c>
      <c r="P14" s="247">
        <f t="shared" si="9"/>
        <v>0</v>
      </c>
      <c r="R14" s="28"/>
    </row>
    <row r="15" spans="1:18" s="18" customFormat="1" hidden="1">
      <c r="A15" s="244" t="s">
        <v>516</v>
      </c>
      <c r="B15" s="245" t="s">
        <v>517</v>
      </c>
      <c r="C15" s="244" t="s">
        <v>92</v>
      </c>
      <c r="D15" s="246">
        <f>+Usuarios!$I$7</f>
        <v>11</v>
      </c>
      <c r="E15" s="247">
        <f>+SUM('PRES MR 5 KW'!K36:K37)</f>
        <v>0</v>
      </c>
      <c r="F15" s="247">
        <f>+SUM('PRES MR 5 KW'!L36:L37)</f>
        <v>0</v>
      </c>
      <c r="G15" s="247">
        <f>+SUM('PRES MR 5 KW'!M36:M37)</f>
        <v>0</v>
      </c>
      <c r="H15" s="247">
        <f>+SUM('PRES MR 5 KW'!N36:N37)</f>
        <v>0</v>
      </c>
      <c r="I15" s="247">
        <f>+SUM('PRES MR 5 KW'!O36:O37)</f>
        <v>0</v>
      </c>
      <c r="J15" s="247">
        <f t="shared" si="7"/>
        <v>0</v>
      </c>
      <c r="K15" s="247">
        <f t="shared" si="8"/>
        <v>0</v>
      </c>
      <c r="L15" s="247">
        <f t="shared" si="8"/>
        <v>0</v>
      </c>
      <c r="M15" s="247">
        <f t="shared" si="8"/>
        <v>0</v>
      </c>
      <c r="N15" s="247">
        <f t="shared" si="8"/>
        <v>0</v>
      </c>
      <c r="O15" s="247">
        <f t="shared" si="8"/>
        <v>0</v>
      </c>
      <c r="P15" s="247">
        <f t="shared" si="9"/>
        <v>0</v>
      </c>
    </row>
    <row r="16" spans="1:18" s="18" customFormat="1" hidden="1">
      <c r="A16" s="244" t="s">
        <v>518</v>
      </c>
      <c r="B16" s="245" t="s">
        <v>519</v>
      </c>
      <c r="C16" s="244" t="s">
        <v>92</v>
      </c>
      <c r="D16" s="246">
        <f>+Usuarios!$I$7</f>
        <v>11</v>
      </c>
      <c r="E16" s="247">
        <f>+'PRES MR 5 KW'!K39</f>
        <v>0</v>
      </c>
      <c r="F16" s="247">
        <f>+'PRES MR 5 KW'!L39</f>
        <v>0</v>
      </c>
      <c r="G16" s="247">
        <f>+'PRES MR 5 KW'!M39</f>
        <v>0</v>
      </c>
      <c r="H16" s="247">
        <f>+'PRES MR 5 KW'!N39</f>
        <v>0</v>
      </c>
      <c r="I16" s="247">
        <f>+'PRES MR 5 KW'!O39</f>
        <v>0</v>
      </c>
      <c r="J16" s="247">
        <f t="shared" si="7"/>
        <v>0</v>
      </c>
      <c r="K16" s="247">
        <f t="shared" si="8"/>
        <v>0</v>
      </c>
      <c r="L16" s="247">
        <f t="shared" si="8"/>
        <v>0</v>
      </c>
      <c r="M16" s="247">
        <f t="shared" si="8"/>
        <v>0</v>
      </c>
      <c r="N16" s="247">
        <f t="shared" si="8"/>
        <v>0</v>
      </c>
      <c r="O16" s="247">
        <f t="shared" si="8"/>
        <v>0</v>
      </c>
      <c r="P16" s="247">
        <f t="shared" si="9"/>
        <v>0</v>
      </c>
    </row>
    <row r="17" spans="1:17" s="18" customFormat="1" ht="13">
      <c r="A17" s="382">
        <v>4</v>
      </c>
      <c r="B17" s="383" t="s">
        <v>68</v>
      </c>
      <c r="C17" s="384"/>
      <c r="D17" s="384"/>
      <c r="E17" s="384"/>
      <c r="F17" s="384"/>
      <c r="G17" s="384"/>
      <c r="H17" s="384"/>
      <c r="I17" s="384"/>
      <c r="J17" s="384"/>
      <c r="K17" s="385">
        <f>+SUM(K18:K28)*(1+'PRES GENERAL MR'!$J$36)</f>
        <v>0</v>
      </c>
      <c r="L17" s="385">
        <f>+SUM(L18:L28)*(1+'PRES GENERAL MR'!$J$36)</f>
        <v>0</v>
      </c>
      <c r="M17" s="385">
        <f>+SUM(M18:M28)*(1+'PRES GENERAL MR'!$J$36)</f>
        <v>0</v>
      </c>
      <c r="N17" s="385">
        <f>+SUM(N18:N28)*(1+'PRES GENERAL MR'!$J$36)</f>
        <v>0</v>
      </c>
      <c r="O17" s="385">
        <f>+SUM(O18:O28)*(1+'PRES GENERAL MR'!$J$36)</f>
        <v>0</v>
      </c>
      <c r="P17" s="386">
        <f>SUM(K17:O17)</f>
        <v>0</v>
      </c>
    </row>
    <row r="18" spans="1:17" s="18" customFormat="1" hidden="1">
      <c r="A18" s="244" t="s">
        <v>520</v>
      </c>
      <c r="B18" s="245" t="s">
        <v>521</v>
      </c>
      <c r="C18" s="244" t="s">
        <v>92</v>
      </c>
      <c r="D18" s="246">
        <f>+'PRES GENERAL MR'!D18</f>
        <v>53</v>
      </c>
      <c r="E18" s="247">
        <f>+'4.1'!G11</f>
        <v>0</v>
      </c>
      <c r="F18" s="247">
        <f>+'4.1'!G18</f>
        <v>0</v>
      </c>
      <c r="G18" s="247">
        <f>+'4.1'!G25</f>
        <v>0</v>
      </c>
      <c r="H18" s="247">
        <f>+'4.1'!G29</f>
        <v>0</v>
      </c>
      <c r="I18" s="247">
        <f>+'4.1'!G30</f>
        <v>0</v>
      </c>
      <c r="J18" s="247">
        <f t="shared" ref="J18" si="10">SUM(E18:I18)</f>
        <v>0</v>
      </c>
      <c r="K18" s="247">
        <f t="shared" ref="K18:O28" si="11">+$D18*E18</f>
        <v>0</v>
      </c>
      <c r="L18" s="247">
        <f t="shared" si="11"/>
        <v>0</v>
      </c>
      <c r="M18" s="247">
        <f t="shared" si="11"/>
        <v>0</v>
      </c>
      <c r="N18" s="247">
        <f t="shared" si="11"/>
        <v>0</v>
      </c>
      <c r="O18" s="247">
        <f t="shared" si="11"/>
        <v>0</v>
      </c>
      <c r="P18" s="247">
        <f t="shared" ref="P18:P28" si="12">ROUND(J18*D18,0)</f>
        <v>0</v>
      </c>
    </row>
    <row r="19" spans="1:17" s="18" customFormat="1" hidden="1">
      <c r="A19" s="244" t="s">
        <v>522</v>
      </c>
      <c r="B19" s="245" t="s">
        <v>523</v>
      </c>
      <c r="C19" s="244" t="s">
        <v>92</v>
      </c>
      <c r="D19" s="246">
        <f>+'PRES GENERAL MR'!D19</f>
        <v>53</v>
      </c>
      <c r="E19" s="247">
        <f>+'4.2'!G15</f>
        <v>0</v>
      </c>
      <c r="F19" s="247">
        <f>+'4.2'!G22</f>
        <v>0</v>
      </c>
      <c r="G19" s="247">
        <f>+'4.2'!G29</f>
        <v>0</v>
      </c>
      <c r="H19" s="247">
        <f>+'4.2'!G33</f>
        <v>0</v>
      </c>
      <c r="I19" s="247">
        <f>+'4.2'!G34</f>
        <v>0</v>
      </c>
      <c r="J19" s="247">
        <f t="shared" ref="J19:J28" si="13">SUM(E19:I19)</f>
        <v>0</v>
      </c>
      <c r="K19" s="247">
        <f t="shared" si="11"/>
        <v>0</v>
      </c>
      <c r="L19" s="247">
        <f t="shared" si="11"/>
        <v>0</v>
      </c>
      <c r="M19" s="247">
        <f t="shared" si="11"/>
        <v>0</v>
      </c>
      <c r="N19" s="247">
        <f t="shared" si="11"/>
        <v>0</v>
      </c>
      <c r="O19" s="247">
        <f t="shared" si="11"/>
        <v>0</v>
      </c>
      <c r="P19" s="247">
        <f t="shared" si="12"/>
        <v>0</v>
      </c>
    </row>
    <row r="20" spans="1:17" s="18" customFormat="1" hidden="1">
      <c r="A20" s="244" t="s">
        <v>524</v>
      </c>
      <c r="B20" s="245" t="s">
        <v>525</v>
      </c>
      <c r="C20" s="244" t="s">
        <v>92</v>
      </c>
      <c r="D20" s="246">
        <f>+'PRES GENERAL MR'!D20</f>
        <v>30</v>
      </c>
      <c r="E20" s="247">
        <f>+'4.3'!G16</f>
        <v>0</v>
      </c>
      <c r="F20" s="247">
        <f>+'4.3'!G23</f>
        <v>0</v>
      </c>
      <c r="G20" s="247">
        <f>+'4.3'!G30</f>
        <v>0</v>
      </c>
      <c r="H20" s="247">
        <f>+'4.3'!G34</f>
        <v>0</v>
      </c>
      <c r="I20" s="247">
        <f>+'4.3'!G35</f>
        <v>0</v>
      </c>
      <c r="J20" s="247">
        <f t="shared" si="13"/>
        <v>0</v>
      </c>
      <c r="K20" s="247">
        <f t="shared" si="11"/>
        <v>0</v>
      </c>
      <c r="L20" s="247">
        <f t="shared" si="11"/>
        <v>0</v>
      </c>
      <c r="M20" s="247">
        <f t="shared" si="11"/>
        <v>0</v>
      </c>
      <c r="N20" s="247">
        <f t="shared" si="11"/>
        <v>0</v>
      </c>
      <c r="O20" s="247">
        <f t="shared" si="11"/>
        <v>0</v>
      </c>
      <c r="P20" s="247">
        <f t="shared" si="12"/>
        <v>0</v>
      </c>
    </row>
    <row r="21" spans="1:17" s="18" customFormat="1" hidden="1">
      <c r="A21" s="244" t="s">
        <v>526</v>
      </c>
      <c r="B21" s="245" t="s">
        <v>527</v>
      </c>
      <c r="C21" s="244" t="s">
        <v>92</v>
      </c>
      <c r="D21" s="246">
        <f>+'PRES GENERAL MR'!D21</f>
        <v>13</v>
      </c>
      <c r="E21" s="247">
        <f>+'4.4'!G17</f>
        <v>0</v>
      </c>
      <c r="F21" s="247">
        <f>+'4.4'!G24</f>
        <v>0</v>
      </c>
      <c r="G21" s="247">
        <f>+'4.4'!G31</f>
        <v>0</v>
      </c>
      <c r="H21" s="247">
        <f>+'4.4'!G35</f>
        <v>0</v>
      </c>
      <c r="I21" s="247">
        <f>+'4.4'!G36</f>
        <v>0</v>
      </c>
      <c r="J21" s="247">
        <f t="shared" si="13"/>
        <v>0</v>
      </c>
      <c r="K21" s="247">
        <f t="shared" si="11"/>
        <v>0</v>
      </c>
      <c r="L21" s="247">
        <f t="shared" si="11"/>
        <v>0</v>
      </c>
      <c r="M21" s="247">
        <f t="shared" si="11"/>
        <v>0</v>
      </c>
      <c r="N21" s="247">
        <f t="shared" si="11"/>
        <v>0</v>
      </c>
      <c r="O21" s="247">
        <f t="shared" si="11"/>
        <v>0</v>
      </c>
      <c r="P21" s="247">
        <f t="shared" si="12"/>
        <v>0</v>
      </c>
    </row>
    <row r="22" spans="1:17" s="18" customFormat="1" hidden="1">
      <c r="A22" s="244" t="s">
        <v>528</v>
      </c>
      <c r="B22" s="245" t="s">
        <v>529</v>
      </c>
      <c r="C22" s="244" t="s">
        <v>92</v>
      </c>
      <c r="D22" s="246">
        <f>+'PRES GENERAL MR'!D22</f>
        <v>9</v>
      </c>
      <c r="E22" s="247">
        <f>+'4.5'!G19</f>
        <v>0</v>
      </c>
      <c r="F22" s="247">
        <f>+'4.5'!G26</f>
        <v>0</v>
      </c>
      <c r="G22" s="247">
        <f>+'4.5'!G33</f>
        <v>0</v>
      </c>
      <c r="H22" s="247">
        <f>+'4.5'!G37</f>
        <v>0</v>
      </c>
      <c r="I22" s="247">
        <f>+'4.5'!G38</f>
        <v>0</v>
      </c>
      <c r="J22" s="247">
        <f t="shared" si="13"/>
        <v>0</v>
      </c>
      <c r="K22" s="247">
        <f t="shared" si="11"/>
        <v>0</v>
      </c>
      <c r="L22" s="247">
        <f t="shared" si="11"/>
        <v>0</v>
      </c>
      <c r="M22" s="247">
        <f t="shared" si="11"/>
        <v>0</v>
      </c>
      <c r="N22" s="247">
        <f t="shared" si="11"/>
        <v>0</v>
      </c>
      <c r="O22" s="247">
        <f t="shared" si="11"/>
        <v>0</v>
      </c>
      <c r="P22" s="247">
        <f t="shared" si="12"/>
        <v>0</v>
      </c>
    </row>
    <row r="23" spans="1:17" s="18" customFormat="1" hidden="1">
      <c r="A23" s="244" t="s">
        <v>530</v>
      </c>
      <c r="B23" s="245" t="s">
        <v>531</v>
      </c>
      <c r="C23" s="244" t="s">
        <v>92</v>
      </c>
      <c r="D23" s="246">
        <f>+'PRES GENERAL MR'!D23</f>
        <v>11</v>
      </c>
      <c r="E23" s="247">
        <f>+'4.6'!G13</f>
        <v>0</v>
      </c>
      <c r="F23" s="247">
        <f>+'4.6'!G20</f>
        <v>0</v>
      </c>
      <c r="G23" s="247">
        <f>+'4.6'!G27</f>
        <v>0</v>
      </c>
      <c r="H23" s="247">
        <f>+'4.6'!G31</f>
        <v>0</v>
      </c>
      <c r="I23" s="247">
        <f>+'4.6'!G32</f>
        <v>0</v>
      </c>
      <c r="J23" s="247">
        <f t="shared" si="13"/>
        <v>0</v>
      </c>
      <c r="K23" s="247">
        <f t="shared" si="11"/>
        <v>0</v>
      </c>
      <c r="L23" s="247">
        <f t="shared" si="11"/>
        <v>0</v>
      </c>
      <c r="M23" s="247">
        <f t="shared" si="11"/>
        <v>0</v>
      </c>
      <c r="N23" s="247">
        <f t="shared" si="11"/>
        <v>0</v>
      </c>
      <c r="O23" s="247">
        <f t="shared" si="11"/>
        <v>0</v>
      </c>
      <c r="P23" s="247">
        <f t="shared" si="12"/>
        <v>0</v>
      </c>
    </row>
    <row r="24" spans="1:17" s="18" customFormat="1" hidden="1">
      <c r="A24" s="244" t="s">
        <v>532</v>
      </c>
      <c r="B24" s="245" t="s">
        <v>533</v>
      </c>
      <c r="C24" s="244" t="s">
        <v>92</v>
      </c>
      <c r="D24" s="246">
        <f>+'PRES GENERAL MR'!D24</f>
        <v>0</v>
      </c>
      <c r="E24" s="247">
        <f>+'4.7'!G14</f>
        <v>0</v>
      </c>
      <c r="F24" s="247">
        <f>+'4.7'!G21</f>
        <v>0</v>
      </c>
      <c r="G24" s="247">
        <f>+'4.7'!G28</f>
        <v>0</v>
      </c>
      <c r="H24" s="247">
        <f>+'4.7'!G32</f>
        <v>0</v>
      </c>
      <c r="I24" s="247">
        <f>+'4.7'!G33</f>
        <v>0</v>
      </c>
      <c r="J24" s="247">
        <f t="shared" si="13"/>
        <v>0</v>
      </c>
      <c r="K24" s="247">
        <f t="shared" si="11"/>
        <v>0</v>
      </c>
      <c r="L24" s="247">
        <f t="shared" si="11"/>
        <v>0</v>
      </c>
      <c r="M24" s="247">
        <f t="shared" si="11"/>
        <v>0</v>
      </c>
      <c r="N24" s="247">
        <f t="shared" si="11"/>
        <v>0</v>
      </c>
      <c r="O24" s="247">
        <f t="shared" si="11"/>
        <v>0</v>
      </c>
      <c r="P24" s="247">
        <f t="shared" si="12"/>
        <v>0</v>
      </c>
    </row>
    <row r="25" spans="1:17" s="18" customFormat="1" ht="25" hidden="1">
      <c r="A25" s="244" t="s">
        <v>534</v>
      </c>
      <c r="B25" s="245" t="s">
        <v>535</v>
      </c>
      <c r="C25" s="244" t="s">
        <v>536</v>
      </c>
      <c r="D25" s="246">
        <f>+'PRES GENERAL MR'!D25</f>
        <v>2000</v>
      </c>
      <c r="E25" s="247">
        <f>+'4.8'!G10</f>
        <v>0</v>
      </c>
      <c r="F25" s="247">
        <f>+'4.8'!G17</f>
        <v>0</v>
      </c>
      <c r="G25" s="247">
        <f>+'4.8'!G24</f>
        <v>0</v>
      </c>
      <c r="H25" s="247">
        <f>+'4.8'!G28</f>
        <v>0</v>
      </c>
      <c r="I25" s="247">
        <f>+'4.8'!G29</f>
        <v>0</v>
      </c>
      <c r="J25" s="247">
        <f t="shared" si="13"/>
        <v>0</v>
      </c>
      <c r="K25" s="247">
        <f t="shared" si="11"/>
        <v>0</v>
      </c>
      <c r="L25" s="247">
        <f t="shared" si="11"/>
        <v>0</v>
      </c>
      <c r="M25" s="247">
        <f t="shared" si="11"/>
        <v>0</v>
      </c>
      <c r="N25" s="247">
        <f t="shared" si="11"/>
        <v>0</v>
      </c>
      <c r="O25" s="247">
        <f t="shared" si="11"/>
        <v>0</v>
      </c>
      <c r="P25" s="247">
        <f t="shared" si="12"/>
        <v>0</v>
      </c>
    </row>
    <row r="26" spans="1:17" s="18" customFormat="1" hidden="1">
      <c r="A26" s="244" t="s">
        <v>537</v>
      </c>
      <c r="B26" s="245" t="s">
        <v>538</v>
      </c>
      <c r="C26" s="244" t="s">
        <v>92</v>
      </c>
      <c r="D26" s="246">
        <f>+'PRES GENERAL MR'!D26</f>
        <v>22</v>
      </c>
      <c r="E26" s="247">
        <f>+'4.9'!G14</f>
        <v>0</v>
      </c>
      <c r="F26" s="247">
        <f>+'4.9'!G21</f>
        <v>0</v>
      </c>
      <c r="G26" s="247">
        <f>+'4.9'!G28</f>
        <v>0</v>
      </c>
      <c r="H26" s="247">
        <f>+'4.9'!G32</f>
        <v>0</v>
      </c>
      <c r="I26" s="247">
        <f>+'4.9'!G33</f>
        <v>0</v>
      </c>
      <c r="J26" s="247">
        <f t="shared" si="13"/>
        <v>0</v>
      </c>
      <c r="K26" s="247">
        <f t="shared" si="11"/>
        <v>0</v>
      </c>
      <c r="L26" s="247">
        <f t="shared" si="11"/>
        <v>0</v>
      </c>
      <c r="M26" s="247">
        <f t="shared" si="11"/>
        <v>0</v>
      </c>
      <c r="N26" s="247">
        <f t="shared" si="11"/>
        <v>0</v>
      </c>
      <c r="O26" s="247">
        <f t="shared" si="11"/>
        <v>0</v>
      </c>
      <c r="P26" s="247">
        <f t="shared" si="12"/>
        <v>0</v>
      </c>
    </row>
    <row r="27" spans="1:17" s="18" customFormat="1" hidden="1">
      <c r="A27" s="244" t="s">
        <v>539</v>
      </c>
      <c r="B27" s="245" t="s">
        <v>540</v>
      </c>
      <c r="C27" s="244" t="s">
        <v>536</v>
      </c>
      <c r="D27" s="246">
        <f>+'PRES GENERAL MR'!D27</f>
        <v>300</v>
      </c>
      <c r="E27" s="247">
        <f>+'4.10'!G10</f>
        <v>0</v>
      </c>
      <c r="F27" s="247">
        <f>+'4.10'!G17</f>
        <v>0</v>
      </c>
      <c r="G27" s="247">
        <f>+'4.10'!G24</f>
        <v>0</v>
      </c>
      <c r="H27" s="247">
        <f>+'4.10'!G28</f>
        <v>0</v>
      </c>
      <c r="I27" s="247">
        <f>+'4.10'!G29</f>
        <v>0</v>
      </c>
      <c r="J27" s="247">
        <f t="shared" si="13"/>
        <v>0</v>
      </c>
      <c r="K27" s="247">
        <f t="shared" si="11"/>
        <v>0</v>
      </c>
      <c r="L27" s="247">
        <f t="shared" si="11"/>
        <v>0</v>
      </c>
      <c r="M27" s="247">
        <f t="shared" si="11"/>
        <v>0</v>
      </c>
      <c r="N27" s="247">
        <f t="shared" si="11"/>
        <v>0</v>
      </c>
      <c r="O27" s="247">
        <f t="shared" si="11"/>
        <v>0</v>
      </c>
      <c r="P27" s="247">
        <f t="shared" si="12"/>
        <v>0</v>
      </c>
    </row>
    <row r="28" spans="1:17" s="18" customFormat="1" hidden="1">
      <c r="A28" s="244" t="s">
        <v>541</v>
      </c>
      <c r="B28" s="245" t="s">
        <v>542</v>
      </c>
      <c r="C28" s="244" t="s">
        <v>92</v>
      </c>
      <c r="D28" s="246">
        <f>+'PRES GENERAL MR'!D28</f>
        <v>22</v>
      </c>
      <c r="E28" s="247">
        <f>+'4.11'!G15</f>
        <v>0</v>
      </c>
      <c r="F28" s="247">
        <f>+'4.11'!G22</f>
        <v>0</v>
      </c>
      <c r="G28" s="247">
        <f>+'4.11'!G29</f>
        <v>0</v>
      </c>
      <c r="H28" s="247">
        <f>+'4.11'!G33</f>
        <v>0</v>
      </c>
      <c r="I28" s="247">
        <f>+'4.11'!G34</f>
        <v>0</v>
      </c>
      <c r="J28" s="247">
        <f t="shared" si="13"/>
        <v>0</v>
      </c>
      <c r="K28" s="247">
        <f t="shared" si="11"/>
        <v>0</v>
      </c>
      <c r="L28" s="247">
        <f t="shared" si="11"/>
        <v>0</v>
      </c>
      <c r="M28" s="247">
        <f t="shared" si="11"/>
        <v>0</v>
      </c>
      <c r="N28" s="247">
        <f t="shared" si="11"/>
        <v>0</v>
      </c>
      <c r="O28" s="247">
        <f t="shared" si="11"/>
        <v>0</v>
      </c>
      <c r="P28" s="247">
        <f t="shared" si="12"/>
        <v>0</v>
      </c>
    </row>
    <row r="29" spans="1:17" s="18" customFormat="1" ht="13">
      <c r="A29" s="382">
        <v>5</v>
      </c>
      <c r="B29" s="388" t="s">
        <v>543</v>
      </c>
      <c r="C29" s="384"/>
      <c r="D29" s="384"/>
      <c r="E29" s="384"/>
      <c r="F29" s="384"/>
      <c r="G29" s="384"/>
      <c r="H29" s="384"/>
      <c r="I29" s="384"/>
      <c r="J29" s="384"/>
      <c r="K29" s="385">
        <f>+K30*(1+'PRES GENERAL MR'!$J$36)</f>
        <v>0</v>
      </c>
      <c r="L29" s="385">
        <f>+L30*(1+'PRES GENERAL MR'!$J$36)</f>
        <v>0</v>
      </c>
      <c r="M29" s="385">
        <f>+M30*(1+'PRES GENERAL MR'!$J$36)</f>
        <v>0</v>
      </c>
      <c r="N29" s="385">
        <f>+N30*(1+'PRES GENERAL MR'!$J$36)</f>
        <v>0</v>
      </c>
      <c r="O29" s="385">
        <f>+O30*(1+'PRES GENERAL MR'!$J$36)</f>
        <v>0</v>
      </c>
      <c r="P29" s="386">
        <f>SUM(K29:O29)</f>
        <v>0</v>
      </c>
    </row>
    <row r="30" spans="1:17" s="18" customFormat="1" ht="25" hidden="1">
      <c r="A30" s="244" t="s">
        <v>125</v>
      </c>
      <c r="B30" s="245" t="s">
        <v>544</v>
      </c>
      <c r="C30" s="244" t="s">
        <v>92</v>
      </c>
      <c r="D30" s="246">
        <f>+Usuarios!D7+Usuarios!H7</f>
        <v>2</v>
      </c>
      <c r="E30" s="247">
        <f>+'5.1'!G21</f>
        <v>0</v>
      </c>
      <c r="F30" s="247">
        <f>+'5.1'!G25</f>
        <v>0</v>
      </c>
      <c r="G30" s="247">
        <f>+'5.1'!G35</f>
        <v>0</v>
      </c>
      <c r="H30" s="247">
        <f>+'5.1'!G39</f>
        <v>0</v>
      </c>
      <c r="I30" s="247">
        <f>+'5.1'!G40</f>
        <v>0</v>
      </c>
      <c r="J30" s="247">
        <f t="shared" ref="J30" si="14">SUM(E30:I30)</f>
        <v>0</v>
      </c>
      <c r="K30" s="247">
        <f t="shared" ref="K30:O30" si="15">+$D30*E30</f>
        <v>0</v>
      </c>
      <c r="L30" s="247">
        <f t="shared" si="15"/>
        <v>0</v>
      </c>
      <c r="M30" s="247">
        <f t="shared" si="15"/>
        <v>0</v>
      </c>
      <c r="N30" s="247">
        <f t="shared" si="15"/>
        <v>0</v>
      </c>
      <c r="O30" s="247">
        <f t="shared" si="15"/>
        <v>0</v>
      </c>
      <c r="P30" s="247">
        <f t="shared" ref="P30" si="16">ROUND(J30*D30,0)</f>
        <v>0</v>
      </c>
    </row>
    <row r="31" spans="1:17" s="18" customFormat="1" ht="18" customHeight="1">
      <c r="A31" s="532" t="s">
        <v>545</v>
      </c>
      <c r="B31" s="533"/>
      <c r="C31" s="533"/>
      <c r="D31" s="533"/>
      <c r="E31" s="533"/>
      <c r="F31" s="533"/>
      <c r="G31" s="533"/>
      <c r="H31" s="533"/>
      <c r="I31" s="533"/>
      <c r="J31" s="534"/>
      <c r="K31" s="389">
        <f>K4+K6+K11+K17+K29</f>
        <v>0</v>
      </c>
      <c r="L31" s="389">
        <f t="shared" ref="L31:P31" si="17">L4+L6+L11+L17+L29</f>
        <v>0</v>
      </c>
      <c r="M31" s="389">
        <f t="shared" si="17"/>
        <v>0</v>
      </c>
      <c r="N31" s="389" t="e">
        <f t="shared" si="17"/>
        <v>#DIV/0!</v>
      </c>
      <c r="O31" s="389" t="e">
        <f t="shared" si="17"/>
        <v>#DIV/0!</v>
      </c>
      <c r="P31" s="389" t="e">
        <f t="shared" si="17"/>
        <v>#DIV/0!</v>
      </c>
    </row>
    <row r="32" spans="1:17" s="18" customFormat="1" ht="18" hidden="1" customHeight="1">
      <c r="A32" s="514" t="s">
        <v>546</v>
      </c>
      <c r="B32" s="515"/>
      <c r="C32" s="515"/>
      <c r="D32" s="515"/>
      <c r="E32" s="515"/>
      <c r="F32" s="515"/>
      <c r="G32" s="515"/>
      <c r="H32" s="515"/>
      <c r="I32" s="516"/>
      <c r="J32" s="390"/>
      <c r="K32" s="391"/>
      <c r="L32" s="391"/>
      <c r="M32" s="391"/>
      <c r="N32" s="391"/>
      <c r="O32" s="391"/>
      <c r="P32" s="391"/>
      <c r="Q32" s="28"/>
    </row>
    <row r="33" spans="1:17" s="18" customFormat="1" ht="18" hidden="1" customHeight="1">
      <c r="A33" s="514" t="s">
        <v>547</v>
      </c>
      <c r="B33" s="515"/>
      <c r="C33" s="515"/>
      <c r="D33" s="515"/>
      <c r="E33" s="515"/>
      <c r="F33" s="515"/>
      <c r="G33" s="515"/>
      <c r="H33" s="515"/>
      <c r="I33" s="516"/>
      <c r="J33" s="390"/>
      <c r="K33" s="391"/>
      <c r="L33" s="391"/>
      <c r="M33" s="391"/>
      <c r="N33" s="391"/>
      <c r="O33" s="391"/>
      <c r="P33" s="391"/>
    </row>
    <row r="34" spans="1:17" s="18" customFormat="1" ht="18" hidden="1" customHeight="1">
      <c r="A34" s="514" t="s">
        <v>548</v>
      </c>
      <c r="B34" s="515"/>
      <c r="C34" s="515"/>
      <c r="D34" s="515"/>
      <c r="E34" s="515"/>
      <c r="F34" s="515"/>
      <c r="G34" s="515"/>
      <c r="H34" s="515"/>
      <c r="I34" s="516"/>
      <c r="J34" s="390"/>
      <c r="K34" s="391"/>
      <c r="L34" s="391"/>
      <c r="M34" s="391"/>
      <c r="N34" s="391"/>
      <c r="O34" s="391"/>
      <c r="P34" s="391"/>
    </row>
    <row r="35" spans="1:17" s="18" customFormat="1" ht="18" hidden="1" customHeight="1">
      <c r="A35" s="514" t="s">
        <v>549</v>
      </c>
      <c r="B35" s="515"/>
      <c r="C35" s="515"/>
      <c r="D35" s="515"/>
      <c r="E35" s="515"/>
      <c r="F35" s="515"/>
      <c r="G35" s="515"/>
      <c r="H35" s="515"/>
      <c r="I35" s="516"/>
      <c r="J35" s="390"/>
      <c r="K35" s="391"/>
      <c r="L35" s="391"/>
      <c r="M35" s="391"/>
      <c r="N35" s="391"/>
      <c r="O35" s="391"/>
      <c r="P35" s="391"/>
    </row>
    <row r="36" spans="1:17" s="18" customFormat="1" ht="18" hidden="1" customHeight="1">
      <c r="A36" s="514" t="s">
        <v>550</v>
      </c>
      <c r="B36" s="515"/>
      <c r="C36" s="515"/>
      <c r="D36" s="515"/>
      <c r="E36" s="515"/>
      <c r="F36" s="515"/>
      <c r="G36" s="515"/>
      <c r="H36" s="515"/>
      <c r="I36" s="516"/>
      <c r="J36" s="390"/>
      <c r="K36" s="391"/>
      <c r="L36" s="391"/>
      <c r="M36" s="391"/>
      <c r="N36" s="391"/>
      <c r="O36" s="391"/>
      <c r="P36" s="391"/>
    </row>
    <row r="37" spans="1:17" s="18" customFormat="1" ht="18" customHeight="1">
      <c r="A37" s="526" t="s">
        <v>551</v>
      </c>
      <c r="B37" s="527"/>
      <c r="C37" s="527"/>
      <c r="D37" s="527"/>
      <c r="E37" s="527"/>
      <c r="F37" s="527"/>
      <c r="G37" s="527"/>
      <c r="H37" s="527"/>
      <c r="I37" s="527"/>
      <c r="J37" s="528"/>
      <c r="K37" s="392"/>
      <c r="L37" s="392"/>
      <c r="M37" s="392"/>
      <c r="N37" s="392"/>
      <c r="O37" s="392"/>
      <c r="P37" s="392" t="e">
        <f>P31</f>
        <v>#DIV/0!</v>
      </c>
    </row>
    <row r="38" spans="1:17" s="18" customFormat="1" ht="18" customHeight="1">
      <c r="A38" s="514" t="s">
        <v>552</v>
      </c>
      <c r="B38" s="515"/>
      <c r="C38" s="515"/>
      <c r="D38" s="515"/>
      <c r="E38" s="515"/>
      <c r="F38" s="515"/>
      <c r="G38" s="515"/>
      <c r="H38" s="515"/>
      <c r="I38" s="516"/>
      <c r="J38" s="393" t="e">
        <f>+'PRES GENERAL MR'!#REF!</f>
        <v>#REF!</v>
      </c>
      <c r="K38" s="394"/>
      <c r="L38" s="395"/>
      <c r="M38" s="395"/>
      <c r="N38" s="395"/>
      <c r="O38" s="395"/>
      <c r="P38" s="391" t="e">
        <f>+'PRES GENERAL MR'!#REF!</f>
        <v>#REF!</v>
      </c>
    </row>
    <row r="39" spans="1:17" s="18" customFormat="1" ht="18" customHeight="1">
      <c r="A39" s="514" t="s">
        <v>553</v>
      </c>
      <c r="B39" s="515"/>
      <c r="C39" s="515"/>
      <c r="D39" s="515"/>
      <c r="E39" s="515"/>
      <c r="F39" s="515"/>
      <c r="G39" s="515"/>
      <c r="H39" s="515"/>
      <c r="I39" s="516"/>
      <c r="J39" s="393">
        <f>+'PRES GENERAL MR'!J38</f>
        <v>0</v>
      </c>
      <c r="K39" s="391"/>
      <c r="L39" s="391"/>
      <c r="M39" s="391"/>
      <c r="N39" s="391"/>
      <c r="O39" s="391"/>
      <c r="P39" s="391">
        <f>+'PRES GENERAL MR'!P38</f>
        <v>0</v>
      </c>
    </row>
    <row r="40" spans="1:17" s="18" customFormat="1" ht="18" customHeight="1">
      <c r="A40" s="514" t="s">
        <v>554</v>
      </c>
      <c r="B40" s="515"/>
      <c r="C40" s="515"/>
      <c r="D40" s="515"/>
      <c r="E40" s="515"/>
      <c r="F40" s="515"/>
      <c r="G40" s="515"/>
      <c r="H40" s="515"/>
      <c r="I40" s="516"/>
      <c r="J40" s="393">
        <f>+'PRES GENERAL MR'!J39</f>
        <v>0</v>
      </c>
      <c r="K40" s="391"/>
      <c r="L40" s="391"/>
      <c r="M40" s="391"/>
      <c r="N40" s="391"/>
      <c r="O40" s="391"/>
      <c r="P40" s="391">
        <f>+'PRES GENERAL MR'!P39</f>
        <v>0</v>
      </c>
    </row>
    <row r="41" spans="1:17" s="18" customFormat="1" ht="18" customHeight="1">
      <c r="A41" s="514" t="s">
        <v>555</v>
      </c>
      <c r="B41" s="515"/>
      <c r="C41" s="515"/>
      <c r="D41" s="515"/>
      <c r="E41" s="515"/>
      <c r="F41" s="515"/>
      <c r="G41" s="515"/>
      <c r="H41" s="515"/>
      <c r="I41" s="516"/>
      <c r="J41" s="393">
        <f>+'PRES GENERAL MR'!J40</f>
        <v>0</v>
      </c>
      <c r="K41" s="391"/>
      <c r="L41" s="391"/>
      <c r="M41" s="391"/>
      <c r="N41" s="391"/>
      <c r="O41" s="391"/>
      <c r="P41" s="391">
        <f>+'PRES GENERAL MR'!P40</f>
        <v>0</v>
      </c>
    </row>
    <row r="42" spans="1:17" s="18" customFormat="1" ht="18" customHeight="1">
      <c r="A42" s="645" t="s">
        <v>556</v>
      </c>
      <c r="B42" s="646"/>
      <c r="C42" s="646"/>
      <c r="D42" s="646"/>
      <c r="E42" s="646"/>
      <c r="F42" s="646"/>
      <c r="G42" s="646"/>
      <c r="H42" s="646"/>
      <c r="I42" s="647"/>
      <c r="J42" s="396"/>
      <c r="K42" s="396"/>
      <c r="L42" s="396"/>
      <c r="M42" s="396"/>
      <c r="N42" s="396"/>
      <c r="O42" s="396"/>
      <c r="P42" s="396" t="e">
        <f>SUM(P37:P41)</f>
        <v>#DIV/0!</v>
      </c>
    </row>
    <row r="43" spans="1:17" s="18" customFormat="1" ht="18" customHeight="1">
      <c r="A43" s="514" t="s">
        <v>557</v>
      </c>
      <c r="B43" s="515"/>
      <c r="C43" s="515"/>
      <c r="D43" s="515"/>
      <c r="E43" s="515"/>
      <c r="F43" s="515"/>
      <c r="G43" s="515"/>
      <c r="H43" s="515"/>
      <c r="I43" s="516"/>
      <c r="J43" s="393" t="e">
        <f>+P43/P42</f>
        <v>#REF!</v>
      </c>
      <c r="K43" s="391"/>
      <c r="L43" s="391"/>
      <c r="M43" s="391"/>
      <c r="N43" s="391"/>
      <c r="O43" s="391"/>
      <c r="P43" s="391" t="e">
        <f>+'PRES GENERAL MR'!#REF!</f>
        <v>#REF!</v>
      </c>
    </row>
    <row r="44" spans="1:17" s="18" customFormat="1" ht="18" customHeight="1">
      <c r="A44" s="529" t="s">
        <v>558</v>
      </c>
      <c r="B44" s="530"/>
      <c r="C44" s="530"/>
      <c r="D44" s="530"/>
      <c r="E44" s="530"/>
      <c r="F44" s="530"/>
      <c r="G44" s="530"/>
      <c r="H44" s="530"/>
      <c r="I44" s="531"/>
      <c r="J44" s="397"/>
      <c r="K44" s="397"/>
      <c r="L44" s="397"/>
      <c r="M44" s="397"/>
      <c r="N44" s="397"/>
      <c r="O44" s="397"/>
      <c r="P44" s="397" t="e">
        <f>+P43+P42</f>
        <v>#REF!</v>
      </c>
    </row>
    <row r="45" spans="1:17" s="18" customFormat="1" ht="18" customHeight="1">
      <c r="A45" s="523" t="s">
        <v>559</v>
      </c>
      <c r="B45" s="524"/>
      <c r="C45" s="524"/>
      <c r="D45" s="524"/>
      <c r="E45" s="524"/>
      <c r="F45" s="524"/>
      <c r="G45" s="524"/>
      <c r="H45" s="524"/>
      <c r="I45" s="525"/>
      <c r="J45" s="398"/>
      <c r="K45" s="395"/>
      <c r="L45" s="395"/>
      <c r="M45" s="395"/>
      <c r="N45" s="395"/>
      <c r="O45" s="395"/>
      <c r="P45" s="399">
        <f>+Usuarios!K7</f>
        <v>660</v>
      </c>
    </row>
    <row r="46" spans="1:17" s="16" customFormat="1" ht="18" customHeight="1">
      <c r="A46" s="517" t="s">
        <v>560</v>
      </c>
      <c r="B46" s="518"/>
      <c r="C46" s="518"/>
      <c r="D46" s="518"/>
      <c r="E46" s="518"/>
      <c r="F46" s="518"/>
      <c r="G46" s="518"/>
      <c r="H46" s="518"/>
      <c r="I46" s="519"/>
      <c r="J46" s="400"/>
      <c r="K46" s="401"/>
      <c r="L46" s="401"/>
      <c r="M46" s="401"/>
      <c r="N46" s="401"/>
      <c r="O46" s="401"/>
      <c r="P46" s="401" t="e">
        <f>+P44/P45</f>
        <v>#REF!</v>
      </c>
      <c r="Q46" s="170"/>
    </row>
    <row r="47" spans="1:17" ht="13">
      <c r="A47" s="520"/>
      <c r="B47" s="521"/>
      <c r="C47" s="521"/>
      <c r="D47" s="521"/>
      <c r="E47" s="521"/>
      <c r="F47" s="521"/>
      <c r="G47" s="521"/>
      <c r="H47" s="521"/>
      <c r="I47" s="521"/>
      <c r="J47" s="521"/>
      <c r="K47" s="521"/>
      <c r="L47" s="521"/>
      <c r="M47" s="521"/>
      <c r="N47" s="521"/>
      <c r="O47" s="521"/>
      <c r="P47" s="522"/>
    </row>
    <row r="48" spans="1:17" ht="23.5" customHeight="1"/>
    <row r="49" spans="15:16" ht="23.5" customHeight="1"/>
    <row r="50" spans="15:16" ht="23.5" customHeight="1"/>
    <row r="51" spans="15:16" ht="33" customHeight="1"/>
    <row r="52" spans="15:16" ht="23.5" customHeight="1"/>
    <row r="57" spans="15:16" ht="13">
      <c r="O57" s="16" t="s">
        <v>561</v>
      </c>
      <c r="P57" s="402">
        <v>33263833</v>
      </c>
    </row>
    <row r="58" spans="15:16" ht="13">
      <c r="O58" s="16" t="s">
        <v>562</v>
      </c>
      <c r="P58" s="402">
        <v>41123528</v>
      </c>
    </row>
  </sheetData>
  <mergeCells count="24">
    <mergeCell ref="A36:I36"/>
    <mergeCell ref="A1:P1"/>
    <mergeCell ref="A2:A3"/>
    <mergeCell ref="B2:B3"/>
    <mergeCell ref="C2:C3"/>
    <mergeCell ref="D2:D3"/>
    <mergeCell ref="E2:J2"/>
    <mergeCell ref="K2:P2"/>
    <mergeCell ref="A31:J31"/>
    <mergeCell ref="A32:I32"/>
    <mergeCell ref="A33:I33"/>
    <mergeCell ref="A34:I34"/>
    <mergeCell ref="A35:I35"/>
    <mergeCell ref="A47:P47"/>
    <mergeCell ref="A37:J37"/>
    <mergeCell ref="A38:I38"/>
    <mergeCell ref="A39:I39"/>
    <mergeCell ref="A40:I40"/>
    <mergeCell ref="A41:I41"/>
    <mergeCell ref="A42:I42"/>
    <mergeCell ref="A43:I43"/>
    <mergeCell ref="A44:I44"/>
    <mergeCell ref="A45:I45"/>
    <mergeCell ref="A46:I46"/>
  </mergeCells>
  <pageMargins left="0.84" right="0.79" top="0.55118110236220474" bottom="0.43307086614173229" header="0.31496062992125984" footer="0.31496062992125984"/>
  <pageSetup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ec9643-84f7-45db-aa83-ee9a3ae72494">
      <Terms xmlns="http://schemas.microsoft.com/office/infopath/2007/PartnerControls"/>
    </lcf76f155ced4ddcb4097134ff3c332f>
    <TaxCatchAll xmlns="87362788-ca17-470c-b6b4-0ee09bbc73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8EE151B06CB7148BE51795D349B101C" ma:contentTypeVersion="16" ma:contentTypeDescription="Crear nuevo documento." ma:contentTypeScope="" ma:versionID="5e229de38119ccc626d96ac4d1ffe32c">
  <xsd:schema xmlns:xsd="http://www.w3.org/2001/XMLSchema" xmlns:xs="http://www.w3.org/2001/XMLSchema" xmlns:p="http://schemas.microsoft.com/office/2006/metadata/properties" xmlns:ns2="0fec9643-84f7-45db-aa83-ee9a3ae72494" xmlns:ns3="87362788-ca17-470c-b6b4-0ee09bbc73c2" targetNamespace="http://schemas.microsoft.com/office/2006/metadata/properties" ma:root="true" ma:fieldsID="c289c524ab13c4f7bf7081ee34a695db" ns2:_="" ns3:_="">
    <xsd:import namespace="0fec9643-84f7-45db-aa83-ee9a3ae72494"/>
    <xsd:import namespace="87362788-ca17-470c-b6b4-0ee09bbc73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c9643-84f7-45db-aa83-ee9a3ae724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b737727b-0a0e-4a6e-8d6e-34fcc973e4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362788-ca17-470c-b6b4-0ee09bbc73c2"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4aefbc11-6301-4461-89f3-00833bfac1b2}" ma:internalName="TaxCatchAll" ma:showField="CatchAllData" ma:web="87362788-ca17-470c-b6b4-0ee09bbc7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E8037C-0019-4D4F-9DF8-685DCB2790D1}">
  <ds:schemaRefs>
    <ds:schemaRef ds:uri="http://schemas.microsoft.com/sharepoint/v3/contenttype/forms"/>
  </ds:schemaRefs>
</ds:datastoreItem>
</file>

<file path=customXml/itemProps2.xml><?xml version="1.0" encoding="utf-8"?>
<ds:datastoreItem xmlns:ds="http://schemas.openxmlformats.org/officeDocument/2006/customXml" ds:itemID="{EADF6ADA-116F-4FB8-8772-32DC68EC16E6}">
  <ds:schemaRefs>
    <ds:schemaRef ds:uri="http://schemas.openxmlformats.org/package/2006/metadata/core-properties"/>
    <ds:schemaRef ds:uri="http://www.w3.org/XML/1998/namespace"/>
    <ds:schemaRef ds:uri="87362788-ca17-470c-b6b4-0ee09bbc73c2"/>
    <ds:schemaRef ds:uri="http://schemas.microsoft.com/office/2006/documentManagement/types"/>
    <ds:schemaRef ds:uri="http://purl.org/dc/terms/"/>
    <ds:schemaRef ds:uri="http://schemas.microsoft.com/office/infopath/2007/PartnerControls"/>
    <ds:schemaRef ds:uri="http://purl.org/dc/elements/1.1/"/>
    <ds:schemaRef ds:uri="0fec9643-84f7-45db-aa83-ee9a3ae7249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00FC826-2471-441B-A054-9B21225E1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c9643-84f7-45db-aa83-ee9a3ae72494"/>
    <ds:schemaRef ds:uri="87362788-ca17-470c-b6b4-0ee09bbc7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70</vt:i4>
      </vt:variant>
      <vt:variant>
        <vt:lpstr>Rangos con nombre</vt:lpstr>
      </vt:variant>
      <vt:variant>
        <vt:i4>30</vt:i4>
      </vt:variant>
    </vt:vector>
  </HeadingPairs>
  <TitlesOfParts>
    <vt:vector size="100" baseType="lpstr">
      <vt:lpstr>Usuarios</vt:lpstr>
      <vt:lpstr>PRES GENERAL MR</vt:lpstr>
      <vt:lpstr>PRES. SISFV 2010wp</vt:lpstr>
      <vt:lpstr>PRES MR 5 KW</vt:lpstr>
      <vt:lpstr>FP</vt:lpstr>
      <vt:lpstr>Memoria Civil</vt:lpstr>
      <vt:lpstr>APU_PGS</vt:lpstr>
      <vt:lpstr>APU_PMA</vt:lpstr>
      <vt:lpstr>Cadena de Valor</vt:lpstr>
      <vt:lpstr>1.1</vt:lpstr>
      <vt:lpstr>2.1.1</vt:lpstr>
      <vt:lpstr>2.1.2</vt:lpstr>
      <vt:lpstr>2.1.3</vt:lpstr>
      <vt:lpstr>2.1.4</vt:lpstr>
      <vt:lpstr>2.1.5</vt:lpstr>
      <vt:lpstr>2.1.6</vt:lpstr>
      <vt:lpstr>2.1.7</vt:lpstr>
      <vt:lpstr>2.2.1</vt:lpstr>
      <vt:lpstr>2.2.2</vt:lpstr>
      <vt:lpstr>2.3.1</vt:lpstr>
      <vt:lpstr>2.4.1</vt:lpstr>
      <vt:lpstr>3.1.1</vt:lpstr>
      <vt:lpstr>3.1.2</vt:lpstr>
      <vt:lpstr>3.1.3</vt:lpstr>
      <vt:lpstr>3.1.4</vt:lpstr>
      <vt:lpstr>3.1.5</vt:lpstr>
      <vt:lpstr>3.1.6</vt:lpstr>
      <vt:lpstr>3.1.7</vt:lpstr>
      <vt:lpstr>3.1.8</vt:lpstr>
      <vt:lpstr>3.1.9</vt:lpstr>
      <vt:lpstr>3.1.10</vt:lpstr>
      <vt:lpstr>3.1.11</vt:lpstr>
      <vt:lpstr>3.1.12</vt:lpstr>
      <vt:lpstr>3.1.13</vt:lpstr>
      <vt:lpstr>3.1.14</vt:lpstr>
      <vt:lpstr>3.2.1</vt:lpstr>
      <vt:lpstr>3.2.2</vt:lpstr>
      <vt:lpstr>3.2.3</vt:lpstr>
      <vt:lpstr>3.2.4</vt:lpstr>
      <vt:lpstr>3.2.5</vt:lpstr>
      <vt:lpstr>3.2.6</vt:lpstr>
      <vt:lpstr>3.2.7</vt:lpstr>
      <vt:lpstr>3.2.8</vt:lpstr>
      <vt:lpstr>3.2.9</vt:lpstr>
      <vt:lpstr>3.2.10</vt:lpstr>
      <vt:lpstr>3.2.11</vt:lpstr>
      <vt:lpstr>3.2.12</vt:lpstr>
      <vt:lpstr>3.3.1</vt:lpstr>
      <vt:lpstr>3.4.1</vt:lpstr>
      <vt:lpstr>3.4.2</vt:lpstr>
      <vt:lpstr>3.5.1</vt:lpstr>
      <vt:lpstr>4.1</vt:lpstr>
      <vt:lpstr>4.2</vt:lpstr>
      <vt:lpstr>4.3</vt:lpstr>
      <vt:lpstr>4.4</vt:lpstr>
      <vt:lpstr>4.5</vt:lpstr>
      <vt:lpstr>4.6</vt:lpstr>
      <vt:lpstr>4.7</vt:lpstr>
      <vt:lpstr>4.8</vt:lpstr>
      <vt:lpstr>4.9</vt:lpstr>
      <vt:lpstr>4.10</vt:lpstr>
      <vt:lpstr>4.11</vt:lpstr>
      <vt:lpstr>5.1</vt:lpstr>
      <vt:lpstr>TRANSPORTE</vt:lpstr>
      <vt:lpstr>MATERIALES</vt:lpstr>
      <vt:lpstr>Equipos importados</vt:lpstr>
      <vt:lpstr>RENDIMIENTOS</vt:lpstr>
      <vt:lpstr>EQUIPO Y HERRAMIENTA</vt:lpstr>
      <vt:lpstr>MANO DE OBRA</vt:lpstr>
      <vt:lpstr>Cronograma y Flujo de Fondos</vt:lpstr>
      <vt:lpstr>'2.2.1'!Área_de_impresión</vt:lpstr>
      <vt:lpstr>'3.1.1'!Área_de_impresión</vt:lpstr>
      <vt:lpstr>'3.2.10'!Área_de_impresión</vt:lpstr>
      <vt:lpstr>'3.2.11'!Área_de_impresión</vt:lpstr>
      <vt:lpstr>'3.2.12'!Área_de_impresión</vt:lpstr>
      <vt:lpstr>'3.2.5'!Área_de_impresión</vt:lpstr>
      <vt:lpstr>'3.2.6'!Área_de_impresión</vt:lpstr>
      <vt:lpstr>'3.2.7'!Área_de_impresión</vt:lpstr>
      <vt:lpstr>'3.2.8'!Área_de_impresión</vt:lpstr>
      <vt:lpstr>'3.2.9'!Área_de_impresión</vt:lpstr>
      <vt:lpstr>'4.1'!Área_de_impresión</vt:lpstr>
      <vt:lpstr>'4.10'!Área_de_impresión</vt:lpstr>
      <vt:lpstr>'4.11'!Área_de_impresión</vt:lpstr>
      <vt:lpstr>'4.2'!Área_de_impresión</vt:lpstr>
      <vt:lpstr>'4.3'!Área_de_impresión</vt:lpstr>
      <vt:lpstr>'4.4'!Área_de_impresión</vt:lpstr>
      <vt:lpstr>'4.5'!Área_de_impresión</vt:lpstr>
      <vt:lpstr>'4.6'!Área_de_impresión</vt:lpstr>
      <vt:lpstr>'4.7'!Área_de_impresión</vt:lpstr>
      <vt:lpstr>'4.8'!Área_de_impresión</vt:lpstr>
      <vt:lpstr>'4.9'!Área_de_impresión</vt:lpstr>
      <vt:lpstr>'Cadena de Valor'!Área_de_impresión</vt:lpstr>
      <vt:lpstr>'Cronograma y Flujo de Fondos'!Área_de_impresión</vt:lpstr>
      <vt:lpstr>MATERIALES!Área_de_impresión</vt:lpstr>
      <vt:lpstr>'Memoria Civil'!Área_de_impresión</vt:lpstr>
      <vt:lpstr>'PRES GENERAL MR'!Área_de_impresión</vt:lpstr>
      <vt:lpstr>'PRES MR 5 KW'!Área_de_impresión</vt:lpstr>
      <vt:lpstr>'PRES. SISFV 2010wp'!Área_de_impresión</vt:lpstr>
      <vt:lpstr>TRANSPORTE!Área_de_impresión</vt:lpstr>
      <vt:lpstr>Usuarios!Área_de_impresión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Juan Carlos Villada Salazar</cp:lastModifiedBy>
  <cp:revision/>
  <cp:lastPrinted>2025-06-20T20:01:22Z</cp:lastPrinted>
  <dcterms:created xsi:type="dcterms:W3CDTF">2025-02-24T14:35:22Z</dcterms:created>
  <dcterms:modified xsi:type="dcterms:W3CDTF">2025-12-02T12:06:07Z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0x01010038EE151B06CB7148BE51795D349B101C</vt:lpwstr>
  </property>
  <property fmtid="{D5CDD505-2E9C-101B-9397-08002B2CF9AE}" pid="3" name="MediaServiceImageTags">
    <vt:lpwstr/>
  </property>
</Properties>
</file>