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sanabria\Nueva carpeta\"/>
    </mc:Choice>
  </mc:AlternateContent>
  <bookViews>
    <workbookView xWindow="0" yWindow="0" windowWidth="20490" windowHeight="7650"/>
  </bookViews>
  <sheets>
    <sheet name="MENSUAL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H44" i="1"/>
  <c r="M43" i="1"/>
  <c r="H43" i="1"/>
  <c r="X27" i="1"/>
  <c r="X26" i="1"/>
  <c r="X25" i="1"/>
  <c r="X24" i="1"/>
  <c r="X23" i="1"/>
  <c r="X22" i="1"/>
  <c r="X21" i="1"/>
  <c r="X20" i="1"/>
  <c r="X19" i="1"/>
  <c r="X18" i="1"/>
  <c r="A14" i="1"/>
  <c r="A13" i="1"/>
  <c r="X12" i="1"/>
  <c r="Q12" i="1"/>
  <c r="P12" i="1"/>
  <c r="O12" i="1"/>
  <c r="H12" i="1"/>
  <c r="H27" i="1" s="1"/>
  <c r="G12" i="1"/>
  <c r="F12" i="1"/>
  <c r="J12" i="1" s="1"/>
  <c r="E12" i="1"/>
  <c r="I12" i="1" s="1"/>
  <c r="L12" i="1" s="1"/>
  <c r="D12" i="1"/>
  <c r="C12" i="1"/>
  <c r="B12" i="1"/>
  <c r="A12" i="1"/>
  <c r="X11" i="1"/>
  <c r="Q11" i="1"/>
  <c r="P11" i="1"/>
  <c r="O11" i="1"/>
  <c r="H11" i="1"/>
  <c r="N41" i="1" s="1"/>
  <c r="G11" i="1"/>
  <c r="F11" i="1"/>
  <c r="E11" i="1"/>
  <c r="D11" i="1"/>
  <c r="T11" i="1" s="1"/>
  <c r="C11" i="1"/>
  <c r="B11" i="1"/>
  <c r="A11" i="1"/>
  <c r="X10" i="1"/>
  <c r="Q10" i="1"/>
  <c r="P10" i="1"/>
  <c r="O10" i="1"/>
  <c r="H10" i="1"/>
  <c r="N40" i="1" s="1"/>
  <c r="G10" i="1"/>
  <c r="F10" i="1"/>
  <c r="J10" i="1" s="1"/>
  <c r="E10" i="1"/>
  <c r="Q40" i="1" s="1"/>
  <c r="D10" i="1"/>
  <c r="C10" i="1"/>
  <c r="B10" i="1"/>
  <c r="R10" i="1" s="1"/>
  <c r="A10" i="1"/>
  <c r="X9" i="1"/>
  <c r="Q9" i="1"/>
  <c r="P9" i="1"/>
  <c r="O9" i="1"/>
  <c r="H9" i="1"/>
  <c r="G9" i="1"/>
  <c r="K9" i="1" s="1"/>
  <c r="N9" i="1" s="1"/>
  <c r="AA9" i="1" s="1"/>
  <c r="F9" i="1"/>
  <c r="E9" i="1"/>
  <c r="D9" i="1"/>
  <c r="T9" i="1" s="1"/>
  <c r="C9" i="1"/>
  <c r="B9" i="1"/>
  <c r="P39" i="1" s="1"/>
  <c r="A9" i="1"/>
  <c r="X8" i="1"/>
  <c r="Q8" i="1"/>
  <c r="P8" i="1"/>
  <c r="O8" i="1"/>
  <c r="H8" i="1"/>
  <c r="N38" i="1" s="1"/>
  <c r="G8" i="1"/>
  <c r="F8" i="1"/>
  <c r="J8" i="1" s="1"/>
  <c r="E8" i="1"/>
  <c r="D8" i="1"/>
  <c r="C8" i="1"/>
  <c r="S8" i="1" s="1"/>
  <c r="B8" i="1"/>
  <c r="A8" i="1"/>
  <c r="X7" i="1"/>
  <c r="Q7" i="1"/>
  <c r="P7" i="1"/>
  <c r="O7" i="1"/>
  <c r="H7" i="1"/>
  <c r="N37" i="1" s="1"/>
  <c r="G7" i="1"/>
  <c r="F7" i="1"/>
  <c r="E7" i="1"/>
  <c r="D7" i="1"/>
  <c r="T7" i="1" s="1"/>
  <c r="C7" i="1"/>
  <c r="S7" i="1" s="1"/>
  <c r="B7" i="1"/>
  <c r="A7" i="1"/>
  <c r="X6" i="1"/>
  <c r="Q6" i="1"/>
  <c r="P6" i="1"/>
  <c r="O6" i="1"/>
  <c r="H6" i="1"/>
  <c r="N36" i="1" s="1"/>
  <c r="G6" i="1"/>
  <c r="F6" i="1"/>
  <c r="J6" i="1" s="1"/>
  <c r="M6" i="1" s="1"/>
  <c r="E6" i="1"/>
  <c r="D6" i="1"/>
  <c r="C6" i="1"/>
  <c r="S6" i="1" s="1"/>
  <c r="B6" i="1"/>
  <c r="A6" i="1"/>
  <c r="X5" i="1"/>
  <c r="Q5" i="1"/>
  <c r="P5" i="1"/>
  <c r="O5" i="1"/>
  <c r="H5" i="1"/>
  <c r="N35" i="1" s="1"/>
  <c r="G5" i="1"/>
  <c r="F5" i="1"/>
  <c r="E5" i="1"/>
  <c r="Q35" i="1" s="1"/>
  <c r="D5" i="1"/>
  <c r="C5" i="1"/>
  <c r="B5" i="1"/>
  <c r="P35" i="1" s="1"/>
  <c r="A5" i="1"/>
  <c r="AM4" i="1"/>
  <c r="AL4" i="1"/>
  <c r="AK4" i="1"/>
  <c r="AJ4" i="1"/>
  <c r="X4" i="1"/>
  <c r="Q4" i="1"/>
  <c r="P4" i="1"/>
  <c r="P22" i="1" s="1"/>
  <c r="O4" i="1"/>
  <c r="H4" i="1"/>
  <c r="H19" i="1" s="1"/>
  <c r="G4" i="1"/>
  <c r="F4" i="1"/>
  <c r="E4" i="1"/>
  <c r="D4" i="1"/>
  <c r="C4" i="1"/>
  <c r="B4" i="1"/>
  <c r="A4" i="1"/>
  <c r="X3" i="1"/>
  <c r="Q3" i="1"/>
  <c r="P3" i="1"/>
  <c r="O3" i="1"/>
  <c r="H3" i="1"/>
  <c r="N33" i="1" s="1"/>
  <c r="G3" i="1"/>
  <c r="G22" i="1" s="1"/>
  <c r="F3" i="1"/>
  <c r="F25" i="1" s="1"/>
  <c r="E3" i="1"/>
  <c r="D3" i="1"/>
  <c r="C3" i="1"/>
  <c r="B3" i="1"/>
  <c r="R3" i="1" s="1"/>
  <c r="A3" i="1"/>
  <c r="Z6" i="1" l="1"/>
  <c r="J7" i="1"/>
  <c r="M7" i="1" s="1"/>
  <c r="Z7" i="1" s="1"/>
  <c r="R11" i="1"/>
  <c r="J3" i="1"/>
  <c r="J18" i="1" s="1"/>
  <c r="T4" i="1"/>
  <c r="D26" i="1"/>
  <c r="S11" i="1"/>
  <c r="K12" i="1"/>
  <c r="N12" i="1" s="1"/>
  <c r="T10" i="1"/>
  <c r="C21" i="1"/>
  <c r="T12" i="1"/>
  <c r="R4" i="1"/>
  <c r="I7" i="1"/>
  <c r="Q19" i="1"/>
  <c r="K7" i="1"/>
  <c r="N7" i="1" s="1"/>
  <c r="AA7" i="1" s="1"/>
  <c r="S4" i="1"/>
  <c r="S5" i="1"/>
  <c r="P37" i="1"/>
  <c r="T8" i="1"/>
  <c r="K11" i="1"/>
  <c r="N11" i="1" s="1"/>
  <c r="AA11" i="1" s="1"/>
  <c r="P42" i="1"/>
  <c r="M8" i="1"/>
  <c r="Z8" i="1" s="1"/>
  <c r="Q27" i="1"/>
  <c r="F20" i="1"/>
  <c r="P41" i="1"/>
  <c r="P27" i="1"/>
  <c r="J4" i="1"/>
  <c r="M4" i="1" s="1"/>
  <c r="J5" i="1"/>
  <c r="M5" i="1" s="1"/>
  <c r="O25" i="1"/>
  <c r="R7" i="1"/>
  <c r="K8" i="1"/>
  <c r="N8" i="1" s="1"/>
  <c r="Q42" i="1"/>
  <c r="E23" i="1"/>
  <c r="S12" i="1"/>
  <c r="D23" i="1"/>
  <c r="Q24" i="1"/>
  <c r="K4" i="1"/>
  <c r="N4" i="1" s="1"/>
  <c r="AA4" i="1" s="1"/>
  <c r="K5" i="1"/>
  <c r="N5" i="1" s="1"/>
  <c r="M12" i="1"/>
  <c r="Q39" i="1"/>
  <c r="K10" i="1"/>
  <c r="N10" i="1" s="1"/>
  <c r="AA10" i="1" s="1"/>
  <c r="T5" i="1"/>
  <c r="T6" i="1"/>
  <c r="P38" i="1"/>
  <c r="I11" i="1"/>
  <c r="L11" i="1" s="1"/>
  <c r="D18" i="1"/>
  <c r="H22" i="1"/>
  <c r="H35" i="1"/>
  <c r="I35" i="1" s="1"/>
  <c r="J35" i="1" s="1"/>
  <c r="R35" i="1" s="1"/>
  <c r="S35" i="1" s="1"/>
  <c r="O35" i="1"/>
  <c r="L7" i="1"/>
  <c r="C26" i="1"/>
  <c r="Q34" i="1"/>
  <c r="I4" i="1"/>
  <c r="O38" i="1"/>
  <c r="H38" i="1"/>
  <c r="I38" i="1" s="1"/>
  <c r="S10" i="1"/>
  <c r="J11" i="1"/>
  <c r="M11" i="1" s="1"/>
  <c r="Q36" i="1"/>
  <c r="H37" i="1"/>
  <c r="I37" i="1" s="1"/>
  <c r="O37" i="1"/>
  <c r="S9" i="1"/>
  <c r="M10" i="1"/>
  <c r="B21" i="1"/>
  <c r="B26" i="1"/>
  <c r="B18" i="1"/>
  <c r="B23" i="1"/>
  <c r="B20" i="1"/>
  <c r="P33" i="1"/>
  <c r="B25" i="1"/>
  <c r="B22" i="1"/>
  <c r="B27" i="1"/>
  <c r="B19" i="1"/>
  <c r="O41" i="1"/>
  <c r="H41" i="1"/>
  <c r="I41" i="1" s="1"/>
  <c r="H40" i="1"/>
  <c r="I40" i="1" s="1"/>
  <c r="O40" i="1"/>
  <c r="I8" i="1"/>
  <c r="Q38" i="1"/>
  <c r="O22" i="1"/>
  <c r="R6" i="1"/>
  <c r="H24" i="1"/>
  <c r="N39" i="1"/>
  <c r="B24" i="1"/>
  <c r="G25" i="1"/>
  <c r="K6" i="1"/>
  <c r="N6" i="1" s="1"/>
  <c r="O33" i="1"/>
  <c r="H33" i="1"/>
  <c r="I33" i="1" s="1"/>
  <c r="O36" i="1"/>
  <c r="H36" i="1"/>
  <c r="I36" i="1" s="1"/>
  <c r="J9" i="1"/>
  <c r="M9" i="1" s="1"/>
  <c r="K3" i="1"/>
  <c r="S3" i="1"/>
  <c r="I9" i="1"/>
  <c r="R12" i="1"/>
  <c r="Y12" i="1" s="1"/>
  <c r="E18" i="1"/>
  <c r="G20" i="1"/>
  <c r="O20" i="1"/>
  <c r="D21" i="1"/>
  <c r="Q22" i="1"/>
  <c r="F23" i="1"/>
  <c r="C24" i="1"/>
  <c r="H25" i="1"/>
  <c r="P25" i="1"/>
  <c r="E26" i="1"/>
  <c r="Q33" i="1"/>
  <c r="N34" i="1"/>
  <c r="P36" i="1"/>
  <c r="Q41" i="1"/>
  <c r="N42" i="1"/>
  <c r="T3" i="1"/>
  <c r="I6" i="1"/>
  <c r="R9" i="1"/>
  <c r="F18" i="1"/>
  <c r="C19" i="1"/>
  <c r="H20" i="1"/>
  <c r="P20" i="1"/>
  <c r="E21" i="1"/>
  <c r="G23" i="1"/>
  <c r="O23" i="1"/>
  <c r="D24" i="1"/>
  <c r="Q25" i="1"/>
  <c r="F26" i="1"/>
  <c r="C27" i="1"/>
  <c r="G18" i="1"/>
  <c r="O18" i="1"/>
  <c r="D19" i="1"/>
  <c r="Q20" i="1"/>
  <c r="F21" i="1"/>
  <c r="C22" i="1"/>
  <c r="S22" i="1" s="1"/>
  <c r="H23" i="1"/>
  <c r="P23" i="1"/>
  <c r="E24" i="1"/>
  <c r="G26" i="1"/>
  <c r="O26" i="1"/>
  <c r="D27" i="1"/>
  <c r="P34" i="1"/>
  <c r="H18" i="1"/>
  <c r="P18" i="1"/>
  <c r="E19" i="1"/>
  <c r="G21" i="1"/>
  <c r="O21" i="1"/>
  <c r="D22" i="1"/>
  <c r="Q23" i="1"/>
  <c r="F24" i="1"/>
  <c r="C25" i="1"/>
  <c r="H26" i="1"/>
  <c r="P26" i="1"/>
  <c r="E27" i="1"/>
  <c r="I5" i="1"/>
  <c r="R8" i="1"/>
  <c r="Q18" i="1"/>
  <c r="T18" i="1" s="1"/>
  <c r="F19" i="1"/>
  <c r="C20" i="1"/>
  <c r="H21" i="1"/>
  <c r="P21" i="1"/>
  <c r="E22" i="1"/>
  <c r="G24" i="1"/>
  <c r="O24" i="1"/>
  <c r="D25" i="1"/>
  <c r="Q26" i="1"/>
  <c r="F27" i="1"/>
  <c r="Q37" i="1"/>
  <c r="P40" i="1"/>
  <c r="R5" i="1"/>
  <c r="I10" i="1"/>
  <c r="G19" i="1"/>
  <c r="O19" i="1"/>
  <c r="D20" i="1"/>
  <c r="Q21" i="1"/>
  <c r="F22" i="1"/>
  <c r="C23" i="1"/>
  <c r="P24" i="1"/>
  <c r="E25" i="1"/>
  <c r="G27" i="1"/>
  <c r="O27" i="1"/>
  <c r="I3" i="1"/>
  <c r="C18" i="1"/>
  <c r="P19" i="1"/>
  <c r="E20" i="1"/>
  <c r="AA12" i="1" l="1"/>
  <c r="J21" i="1"/>
  <c r="M21" i="1" s="1"/>
  <c r="Z9" i="1"/>
  <c r="T26" i="1"/>
  <c r="T19" i="1"/>
  <c r="Z12" i="1"/>
  <c r="AA8" i="1"/>
  <c r="J41" i="1"/>
  <c r="R41" i="1" s="1"/>
  <c r="S41" i="1" s="1"/>
  <c r="Z5" i="1"/>
  <c r="Z4" i="1"/>
  <c r="Z11" i="1"/>
  <c r="R26" i="1"/>
  <c r="R27" i="1"/>
  <c r="S21" i="1"/>
  <c r="S27" i="1"/>
  <c r="M3" i="1"/>
  <c r="Z3" i="1" s="1"/>
  <c r="J38" i="1"/>
  <c r="R38" i="1" s="1"/>
  <c r="S38" i="1" s="1"/>
  <c r="AA5" i="1"/>
  <c r="J20" i="1"/>
  <c r="M20" i="1" s="1"/>
  <c r="J23" i="1"/>
  <c r="M23" i="1" s="1"/>
  <c r="T24" i="1"/>
  <c r="J37" i="1"/>
  <c r="R37" i="1" s="1"/>
  <c r="S37" i="1" s="1"/>
  <c r="S23" i="1"/>
  <c r="J40" i="1"/>
  <c r="R40" i="1" s="1"/>
  <c r="S40" i="1" s="1"/>
  <c r="T23" i="1"/>
  <c r="AC12" i="1"/>
  <c r="M42" i="1" s="1"/>
  <c r="T27" i="1"/>
  <c r="Q45" i="1"/>
  <c r="J24" i="1"/>
  <c r="M24" i="1" s="1"/>
  <c r="R22" i="1"/>
  <c r="R25" i="1"/>
  <c r="J19" i="1"/>
  <c r="M19" i="1" s="1"/>
  <c r="S20" i="1"/>
  <c r="AA6" i="1"/>
  <c r="J22" i="1"/>
  <c r="M22" i="1" s="1"/>
  <c r="Z22" i="1" s="1"/>
  <c r="AD12" i="1"/>
  <c r="P45" i="1"/>
  <c r="J33" i="1"/>
  <c r="L10" i="1"/>
  <c r="T25" i="1"/>
  <c r="S25" i="1"/>
  <c r="H42" i="1"/>
  <c r="I42" i="1" s="1"/>
  <c r="J42" i="1" s="1"/>
  <c r="R42" i="1" s="1"/>
  <c r="S42" i="1" s="1"/>
  <c r="O42" i="1"/>
  <c r="R20" i="1"/>
  <c r="Z10" i="1"/>
  <c r="R24" i="1"/>
  <c r="AC11" i="1"/>
  <c r="Y11" i="1"/>
  <c r="Z21" i="1"/>
  <c r="L6" i="1"/>
  <c r="S18" i="1"/>
  <c r="L5" i="1"/>
  <c r="J36" i="1"/>
  <c r="R36" i="1" s="1"/>
  <c r="S36" i="1" s="1"/>
  <c r="R23" i="1"/>
  <c r="M18" i="1"/>
  <c r="I24" i="1"/>
  <c r="L24" i="1" s="1"/>
  <c r="I21" i="1"/>
  <c r="L21" i="1" s="1"/>
  <c r="I26" i="1"/>
  <c r="L26" i="1" s="1"/>
  <c r="I18" i="1"/>
  <c r="L18" i="1" s="1"/>
  <c r="I23" i="1"/>
  <c r="L23" i="1" s="1"/>
  <c r="I20" i="1"/>
  <c r="L20" i="1" s="1"/>
  <c r="I25" i="1"/>
  <c r="L25" i="1" s="1"/>
  <c r="L3" i="1"/>
  <c r="I22" i="1"/>
  <c r="L22" i="1" s="1"/>
  <c r="I19" i="1"/>
  <c r="L19" i="1" s="1"/>
  <c r="I27" i="1"/>
  <c r="L27" i="1" s="1"/>
  <c r="T22" i="1"/>
  <c r="S19" i="1"/>
  <c r="H34" i="1"/>
  <c r="I34" i="1" s="1"/>
  <c r="J34" i="1" s="1"/>
  <c r="R34" i="1" s="1"/>
  <c r="S34" i="1" s="1"/>
  <c r="O34" i="1"/>
  <c r="S24" i="1"/>
  <c r="L9" i="1"/>
  <c r="L8" i="1"/>
  <c r="R19" i="1"/>
  <c r="R18" i="1"/>
  <c r="S26" i="1"/>
  <c r="J27" i="1"/>
  <c r="M27" i="1" s="1"/>
  <c r="J26" i="1"/>
  <c r="M26" i="1" s="1"/>
  <c r="T20" i="1"/>
  <c r="K26" i="1"/>
  <c r="N26" i="1" s="1"/>
  <c r="AA26" i="1" s="1"/>
  <c r="K18" i="1"/>
  <c r="N18" i="1" s="1"/>
  <c r="AA18" i="1" s="1"/>
  <c r="K23" i="1"/>
  <c r="N23" i="1" s="1"/>
  <c r="K20" i="1"/>
  <c r="N20" i="1" s="1"/>
  <c r="K25" i="1"/>
  <c r="N25" i="1" s="1"/>
  <c r="N3" i="1"/>
  <c r="AA3" i="1" s="1"/>
  <c r="K22" i="1"/>
  <c r="N22" i="1" s="1"/>
  <c r="K27" i="1"/>
  <c r="N27" i="1" s="1"/>
  <c r="K19" i="1"/>
  <c r="N19" i="1" s="1"/>
  <c r="K24" i="1"/>
  <c r="N24" i="1" s="1"/>
  <c r="K21" i="1"/>
  <c r="N21" i="1" s="1"/>
  <c r="R21" i="1"/>
  <c r="T21" i="1"/>
  <c r="H39" i="1"/>
  <c r="I39" i="1" s="1"/>
  <c r="J39" i="1" s="1"/>
  <c r="R39" i="1" s="1"/>
  <c r="S39" i="1" s="1"/>
  <c r="O39" i="1"/>
  <c r="L4" i="1"/>
  <c r="AC7" i="1"/>
  <c r="Y7" i="1"/>
  <c r="AF7" i="1" s="1"/>
  <c r="AG7" i="1" s="1"/>
  <c r="J25" i="1"/>
  <c r="M25" i="1" s="1"/>
  <c r="AF12" i="1" l="1"/>
  <c r="AG12" i="1" s="1"/>
  <c r="Z27" i="1"/>
  <c r="Z20" i="1"/>
  <c r="AA23" i="1"/>
  <c r="AA19" i="1"/>
  <c r="AF11" i="1"/>
  <c r="AG11" i="1" s="1"/>
  <c r="AA27" i="1"/>
  <c r="AA24" i="1"/>
  <c r="Z18" i="1"/>
  <c r="Z23" i="1"/>
  <c r="Z24" i="1"/>
  <c r="AA21" i="1"/>
  <c r="M37" i="1"/>
  <c r="AD7" i="1"/>
  <c r="AC24" i="1"/>
  <c r="AD24" i="1" s="1"/>
  <c r="Y24" i="1"/>
  <c r="AC10" i="1"/>
  <c r="Y10" i="1"/>
  <c r="AF10" i="1" s="1"/>
  <c r="AG10" i="1" s="1"/>
  <c r="AA22" i="1"/>
  <c r="AC8" i="1"/>
  <c r="Y8" i="1"/>
  <c r="AF8" i="1" s="1"/>
  <c r="AG8" i="1" s="1"/>
  <c r="AC27" i="1"/>
  <c r="AD27" i="1" s="1"/>
  <c r="Y27" i="1"/>
  <c r="AC23" i="1"/>
  <c r="AD23" i="1" s="1"/>
  <c r="Y23" i="1"/>
  <c r="Y25" i="1"/>
  <c r="AC25" i="1"/>
  <c r="AD25" i="1" s="1"/>
  <c r="AC4" i="1"/>
  <c r="Y4" i="1"/>
  <c r="AF4" i="1" s="1"/>
  <c r="AG4" i="1" s="1"/>
  <c r="AC20" i="1"/>
  <c r="AD20" i="1" s="1"/>
  <c r="Y20" i="1"/>
  <c r="Y9" i="1"/>
  <c r="AF9" i="1" s="1"/>
  <c r="AG9" i="1" s="1"/>
  <c r="AC9" i="1"/>
  <c r="AA25" i="1"/>
  <c r="Z26" i="1"/>
  <c r="Y22" i="1"/>
  <c r="AC22" i="1"/>
  <c r="AD22" i="1" s="1"/>
  <c r="AC26" i="1"/>
  <c r="AD26" i="1" s="1"/>
  <c r="Y26" i="1"/>
  <c r="Z19" i="1"/>
  <c r="J45" i="1"/>
  <c r="R45" i="1" s="1"/>
  <c r="S45" i="1" s="1"/>
  <c r="R33" i="1"/>
  <c r="M41" i="1"/>
  <c r="AD11" i="1"/>
  <c r="AC5" i="1"/>
  <c r="Y5" i="1"/>
  <c r="AF5" i="1" s="1"/>
  <c r="AG5" i="1" s="1"/>
  <c r="Y19" i="1"/>
  <c r="AC19" i="1"/>
  <c r="AD19" i="1" s="1"/>
  <c r="AC18" i="1"/>
  <c r="AD18" i="1" s="1"/>
  <c r="Y18" i="1"/>
  <c r="Y6" i="1"/>
  <c r="AF6" i="1" s="1"/>
  <c r="AG6" i="1" s="1"/>
  <c r="AC6" i="1"/>
  <c r="Z25" i="1"/>
  <c r="AA20" i="1"/>
  <c r="AC3" i="1"/>
  <c r="Y3" i="1"/>
  <c r="AF3" i="1" s="1"/>
  <c r="AG3" i="1" s="1"/>
  <c r="AC21" i="1"/>
  <c r="AD21" i="1" s="1"/>
  <c r="Y21" i="1"/>
  <c r="AF21" i="1" s="1"/>
  <c r="AG21" i="1" s="1"/>
  <c r="AF27" i="1" l="1"/>
  <c r="AG27" i="1" s="1"/>
  <c r="AF18" i="1"/>
  <c r="AG18" i="1" s="1"/>
  <c r="AF23" i="1"/>
  <c r="AG23" i="1" s="1"/>
  <c r="AF24" i="1"/>
  <c r="AG24" i="1" s="1"/>
  <c r="AF26" i="1"/>
  <c r="AG26" i="1" s="1"/>
  <c r="AF20" i="1"/>
  <c r="AG20" i="1" s="1"/>
  <c r="M39" i="1"/>
  <c r="AD9" i="1"/>
  <c r="M33" i="1"/>
  <c r="AD3" i="1"/>
  <c r="AF25" i="1"/>
  <c r="AG25" i="1" s="1"/>
  <c r="AD10" i="1"/>
  <c r="M40" i="1"/>
  <c r="T42" i="1"/>
  <c r="T34" i="1"/>
  <c r="T39" i="1"/>
  <c r="T36" i="1"/>
  <c r="T41" i="1"/>
  <c r="T33" i="1"/>
  <c r="T38" i="1"/>
  <c r="S33" i="1"/>
  <c r="T35" i="1"/>
  <c r="T37" i="1"/>
  <c r="T40" i="1"/>
  <c r="AF19" i="1"/>
  <c r="AG19" i="1" s="1"/>
  <c r="AD5" i="1"/>
  <c r="M35" i="1"/>
  <c r="M36" i="1"/>
  <c r="AD6" i="1"/>
  <c r="AF22" i="1"/>
  <c r="AG22" i="1" s="1"/>
  <c r="AD4" i="1"/>
  <c r="M34" i="1"/>
  <c r="AD8" i="1"/>
  <c r="M38" i="1"/>
</calcChain>
</file>

<file path=xl/sharedStrings.xml><?xml version="1.0" encoding="utf-8"?>
<sst xmlns="http://schemas.openxmlformats.org/spreadsheetml/2006/main" count="82" uniqueCount="47">
  <si>
    <t>mm:AA</t>
  </si>
  <si>
    <t>Producción (MWh)</t>
  </si>
  <si>
    <t>Consumo  (Tn)</t>
  </si>
  <si>
    <t xml:space="preserve">Poder calorífico
carbón
 (Kcal/Kg) </t>
  </si>
  <si>
    <t>TOTAL ENERGIA EN EL 
CARBÓN (MBTU)</t>
  </si>
  <si>
    <t>CONSUMO TÉRMICO ESPECÍFICO SIN CORREGIR
(MBTU/MWh)</t>
  </si>
  <si>
    <t>HORAS DE
OPERACIÓN</t>
  </si>
  <si>
    <t xml:space="preserve">POTENCIA PROMEDIO DE 
GENERACIÓN (MW) </t>
  </si>
  <si>
    <t>CAPACIDAD EFECTIVA NETA - CEN
(MW)</t>
  </si>
  <si>
    <t>CONSUMO TÉRMICO ESPECÍFICO 
CORREGIDO (MBTU/MWh)</t>
  </si>
  <si>
    <t>CONSUMO TÉRMICO
ESPECÍFICO SIN  CORREGIR</t>
  </si>
  <si>
    <t>DESEMPEÑO
SIN CORREGIR
(%)</t>
  </si>
  <si>
    <t>CONSUMO TÉRMICO
ESPECÍFICO CORREGIDO (MBTU/MWh)</t>
  </si>
  <si>
    <t>DESEMPEÑO
(%)</t>
  </si>
  <si>
    <t>META 2020 - CONSUMO TÉRMICO ESPECÍFICO 
 (MBTU/MWh)</t>
  </si>
  <si>
    <t>META 2020
DESEMPEÑO
(%)</t>
  </si>
  <si>
    <t>Unidad Uno</t>
  </si>
  <si>
    <t xml:space="preserve">Unidad Dos </t>
  </si>
  <si>
    <t xml:space="preserve">Unidad Tres </t>
  </si>
  <si>
    <t>CEN
TOTAL</t>
  </si>
  <si>
    <t>PLANTA</t>
  </si>
  <si>
    <t xml:space="preserve">INDICADOR ACUMULADO                          INDICADOR ACUMULADO                                       INDICADOR ACUMULADO                           INDICADOR ACUMULADO                                    INDICADOR ACUMULADO  </t>
  </si>
  <si>
    <t>ene-20-feb-20</t>
  </si>
  <si>
    <t>ene-20-mar-20</t>
  </si>
  <si>
    <t>ene-20-abr-20</t>
  </si>
  <si>
    <t>ene-20-may-20</t>
  </si>
  <si>
    <t>ene-20-jun-20</t>
  </si>
  <si>
    <t>ene-20-jul-20</t>
  </si>
  <si>
    <t>ene-20-ago-20</t>
  </si>
  <si>
    <t>ene-20-sep-20</t>
  </si>
  <si>
    <t>ene-20-oct-20</t>
  </si>
  <si>
    <t>ene-20-nov-20</t>
  </si>
  <si>
    <t>ene-20-dic-20</t>
  </si>
  <si>
    <t>2019 VS 2020</t>
  </si>
  <si>
    <t>CTE 2019
SIN CORREGIR</t>
  </si>
  <si>
    <t xml:space="preserve">
CTE 2019
CORREGIDO</t>
  </si>
  <si>
    <t>PERIODO</t>
  </si>
  <si>
    <t>CONSUMO TÉRMICO
ESPECÍFICO
SIN CORREGIR (MBTU/MWh)</t>
  </si>
  <si>
    <t xml:space="preserve">Poder calorífico
carbón promedio
 (Kcal/Kg) 
</t>
  </si>
  <si>
    <t xml:space="preserve">Poder calorífico
carbón promedio
 (MBTU/Ton) 
</t>
  </si>
  <si>
    <t>Consumo de carbón 
(Ton)</t>
  </si>
  <si>
    <t>CONSUMO TÉRMICO
ESPECÍFICO
SIN CORREGIR 
(MBTU/MWh)</t>
  </si>
  <si>
    <t>TOTAL GENERACIÓN 
(MWh)</t>
  </si>
  <si>
    <t>Ahorro de carbón del mes (Ton) (Ton)</t>
  </si>
  <si>
    <t>Ahorro de carbón del mes (Ton) (%)</t>
  </si>
  <si>
    <t>Ahorro de carbón acumulado (%)</t>
  </si>
  <si>
    <t>CONSOLIDADO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</si>
</sst>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1">
    <xf numFmtId="0" fontId="0" fillId="0" borderId="0" xfId="0"/>
    <xf numFmtId="0" fontId="3" fillId="0" borderId="4" xfId="0" applyFont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8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64" fontId="3" fillId="4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17" fontId="0" fillId="9" borderId="5" xfId="0" applyNumberFormat="1" applyFill="1" applyBorder="1"/>
    <xf numFmtId="4" fontId="2" fillId="0" borderId="5" xfId="0" applyNumberFormat="1" applyFont="1" applyBorder="1"/>
    <xf numFmtId="4" fontId="0" fillId="3" borderId="5" xfId="0" applyNumberFormat="1" applyFill="1" applyBorder="1"/>
    <xf numFmtId="2" fontId="0" fillId="0" borderId="5" xfId="0" applyNumberFormat="1" applyBorder="1"/>
    <xf numFmtId="164" fontId="0" fillId="4" borderId="5" xfId="1" applyFont="1" applyFill="1" applyBorder="1"/>
    <xf numFmtId="2" fontId="0" fillId="5" borderId="5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6" borderId="5" xfId="0" applyNumberFormat="1" applyFill="1" applyBorder="1"/>
    <xf numFmtId="1" fontId="0" fillId="0" borderId="5" xfId="0" applyNumberFormat="1" applyBorder="1" applyAlignment="1">
      <alignment horizontal="center"/>
    </xf>
    <xf numFmtId="2" fontId="0" fillId="5" borderId="5" xfId="0" applyNumberFormat="1" applyFill="1" applyBorder="1"/>
    <xf numFmtId="2" fontId="2" fillId="7" borderId="5" xfId="0" applyNumberFormat="1" applyFont="1" applyFill="1" applyBorder="1" applyAlignment="1">
      <alignment horizontal="center"/>
    </xf>
    <xf numFmtId="2" fontId="5" fillId="5" borderId="5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6" fillId="8" borderId="5" xfId="2" applyNumberFormat="1" applyFont="1" applyFill="1" applyBorder="1" applyAlignment="1">
      <alignment horizontal="center"/>
    </xf>
    <xf numFmtId="0" fontId="0" fillId="0" borderId="5" xfId="0" applyBorder="1"/>
    <xf numFmtId="10" fontId="0" fillId="0" borderId="5" xfId="2" applyNumberFormat="1" applyFont="1" applyFill="1" applyBorder="1" applyAlignment="1">
      <alignment horizontal="center"/>
    </xf>
    <xf numFmtId="10" fontId="6" fillId="0" borderId="0" xfId="2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/>
    <xf numFmtId="17" fontId="0" fillId="0" borderId="0" xfId="0" applyNumberFormat="1"/>
    <xf numFmtId="0" fontId="0" fillId="0" borderId="5" xfId="0" applyFill="1" applyBorder="1" applyAlignment="1">
      <alignment horizontal="center"/>
    </xf>
    <xf numFmtId="17" fontId="0" fillId="0" borderId="7" xfId="0" applyNumberFormat="1" applyFill="1" applyBorder="1"/>
    <xf numFmtId="4" fontId="2" fillId="0" borderId="0" xfId="0" applyNumberFormat="1" applyFont="1" applyBorder="1"/>
    <xf numFmtId="164" fontId="0" fillId="0" borderId="0" xfId="1" applyFont="1"/>
    <xf numFmtId="2" fontId="0" fillId="0" borderId="0" xfId="0" applyNumberFormat="1" applyFill="1" applyBorder="1" applyAlignment="1">
      <alignment horizontal="center"/>
    </xf>
    <xf numFmtId="0" fontId="0" fillId="0" borderId="0" xfId="0" applyFill="1" applyAlignment="1"/>
    <xf numFmtId="2" fontId="0" fillId="0" borderId="0" xfId="0" applyNumberFormat="1" applyFill="1" applyBorder="1"/>
    <xf numFmtId="0" fontId="0" fillId="0" borderId="0" xfId="0" applyFill="1" applyBorder="1"/>
    <xf numFmtId="17" fontId="0" fillId="0" borderId="0" xfId="0" applyNumberFormat="1" applyFill="1" applyBorder="1"/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7" fontId="0" fillId="9" borderId="6" xfId="0" applyNumberFormat="1" applyFill="1" applyBorder="1"/>
    <xf numFmtId="4" fontId="2" fillId="0" borderId="6" xfId="0" applyNumberFormat="1" applyFont="1" applyBorder="1"/>
    <xf numFmtId="4" fontId="2" fillId="3" borderId="6" xfId="0" applyNumberFormat="1" applyFont="1" applyFill="1" applyBorder="1"/>
    <xf numFmtId="2" fontId="0" fillId="0" borderId="6" xfId="0" applyNumberFormat="1" applyBorder="1"/>
    <xf numFmtId="4" fontId="2" fillId="4" borderId="6" xfId="0" applyNumberFormat="1" applyFont="1" applyFill="1" applyBorder="1"/>
    <xf numFmtId="2" fontId="0" fillId="5" borderId="6" xfId="0" applyNumberForma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2" fontId="0" fillId="6" borderId="6" xfId="0" applyNumberFormat="1" applyFill="1" applyBorder="1"/>
    <xf numFmtId="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5" borderId="6" xfId="0" applyNumberFormat="1" applyFill="1" applyBorder="1"/>
    <xf numFmtId="2" fontId="2" fillId="7" borderId="6" xfId="0" applyNumberFormat="1" applyFont="1" applyFill="1" applyBorder="1" applyAlignment="1">
      <alignment horizontal="center"/>
    </xf>
    <xf numFmtId="2" fontId="5" fillId="5" borderId="6" xfId="0" applyNumberFormat="1" applyFont="1" applyFill="1" applyBorder="1" applyAlignment="1">
      <alignment horizontal="center"/>
    </xf>
    <xf numFmtId="17" fontId="2" fillId="9" borderId="5" xfId="0" applyNumberFormat="1" applyFont="1" applyFill="1" applyBorder="1"/>
    <xf numFmtId="4" fontId="2" fillId="3" borderId="5" xfId="0" applyNumberFormat="1" applyFont="1" applyFill="1" applyBorder="1"/>
    <xf numFmtId="4" fontId="2" fillId="4" borderId="5" xfId="0" applyNumberFormat="1" applyFont="1" applyFill="1" applyBorder="1"/>
    <xf numFmtId="3" fontId="2" fillId="0" borderId="5" xfId="0" applyNumberFormat="1" applyFont="1" applyBorder="1" applyAlignment="1">
      <alignment horizontal="center"/>
    </xf>
    <xf numFmtId="4" fontId="2" fillId="0" borderId="0" xfId="0" applyNumberFormat="1" applyFont="1" applyFill="1" applyBorder="1"/>
    <xf numFmtId="164" fontId="0" fillId="0" borderId="0" xfId="1" applyFont="1" applyFill="1" applyBorder="1"/>
    <xf numFmtId="2" fontId="0" fillId="0" borderId="0" xfId="0" applyNumberFormat="1" applyFill="1" applyBorder="1" applyAlignment="1"/>
    <xf numFmtId="0" fontId="3" fillId="5" borderId="5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3" fillId="10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2" fontId="9" fillId="0" borderId="0" xfId="0" applyNumberFormat="1" applyFont="1" applyAlignment="1">
      <alignment horizontal="center"/>
    </xf>
    <xf numFmtId="17" fontId="0" fillId="0" borderId="5" xfId="0" applyNumberFormat="1" applyBorder="1"/>
    <xf numFmtId="164" fontId="0" fillId="0" borderId="5" xfId="1" applyNumberFormat="1" applyFont="1" applyBorder="1" applyAlignment="1">
      <alignment horizontal="right"/>
    </xf>
    <xf numFmtId="2" fontId="0" fillId="0" borderId="5" xfId="0" applyNumberFormat="1" applyFill="1" applyBorder="1"/>
    <xf numFmtId="17" fontId="0" fillId="0" borderId="5" xfId="1" applyNumberFormat="1" applyFont="1" applyFill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5" borderId="5" xfId="0" applyNumberFormat="1" applyFill="1" applyBorder="1" applyAlignment="1">
      <alignment horizontal="right"/>
    </xf>
    <xf numFmtId="10" fontId="0" fillId="5" borderId="5" xfId="2" applyNumberFormat="1" applyFont="1" applyFill="1" applyBorder="1" applyAlignment="1">
      <alignment horizontal="right"/>
    </xf>
    <xf numFmtId="10" fontId="2" fillId="5" borderId="5" xfId="2" applyNumberFormat="1" applyFont="1" applyFill="1" applyBorder="1" applyAlignment="1">
      <alignment horizontal="right"/>
    </xf>
    <xf numFmtId="0" fontId="2" fillId="0" borderId="0" xfId="0" applyFont="1" applyFill="1" applyBorder="1"/>
    <xf numFmtId="165" fontId="0" fillId="0" borderId="5" xfId="1" applyNumberFormat="1" applyFon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0" fontId="5" fillId="5" borderId="5" xfId="2" applyNumberFormat="1" applyFont="1" applyFill="1" applyBorder="1" applyAlignment="1">
      <alignment horizontal="right"/>
    </xf>
    <xf numFmtId="0" fontId="3" fillId="0" borderId="0" xfId="0" applyFont="1" applyFill="1" applyBorder="1"/>
    <xf numFmtId="0" fontId="10" fillId="0" borderId="0" xfId="0" applyFont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164" fontId="3" fillId="0" borderId="5" xfId="1" applyNumberFormat="1" applyFont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5" borderId="5" xfId="0" applyNumberFormat="1" applyFont="1" applyFill="1" applyBorder="1" applyAlignment="1">
      <alignment horizontal="right"/>
    </xf>
    <xf numFmtId="10" fontId="3" fillId="5" borderId="5" xfId="2" applyNumberFormat="1" applyFont="1" applyFill="1" applyBorder="1" applyAlignment="1">
      <alignment horizontal="right"/>
    </xf>
    <xf numFmtId="2" fontId="4" fillId="5" borderId="5" xfId="0" applyNumberFormat="1" applyFont="1" applyFill="1" applyBorder="1"/>
    <xf numFmtId="0" fontId="3" fillId="0" borderId="0" xfId="0" applyFont="1" applyFill="1" applyBorder="1" applyAlignment="1"/>
    <xf numFmtId="10" fontId="0" fillId="0" borderId="0" xfId="2" applyNumberFormat="1" applyFont="1" applyFill="1" applyBorder="1"/>
    <xf numFmtId="0" fontId="0" fillId="0" borderId="0" xfId="0" applyAlignment="1"/>
    <xf numFmtId="0" fontId="3" fillId="10" borderId="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17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3" fillId="4" borderId="5" xfId="1" applyFont="1" applyFill="1" applyBorder="1" applyAlignment="1">
      <alignment horizontal="center" vertical="center" wrapText="1"/>
    </xf>
    <xf numFmtId="164" fontId="3" fillId="4" borderId="5" xfId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840441</xdr:colOff>
      <xdr:row>41</xdr:row>
      <xdr:rowOff>11205</xdr:rowOff>
    </xdr:from>
    <xdr:to>
      <xdr:col>19</xdr:col>
      <xdr:colOff>840442</xdr:colOff>
      <xdr:row>42</xdr:row>
      <xdr:rowOff>11205</xdr:rowOff>
    </xdr:to>
    <xdr:sp macro="" textlink="">
      <xdr:nvSpPr>
        <xdr:cNvPr id="2" name="Rectángulo 1"/>
        <xdr:cNvSpPr/>
      </xdr:nvSpPr>
      <xdr:spPr>
        <a:xfrm>
          <a:off x="15966141" y="7955055"/>
          <a:ext cx="847726" cy="1619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31</xdr:col>
      <xdr:colOff>1609167</xdr:colOff>
      <xdr:row>25</xdr:row>
      <xdr:rowOff>145677</xdr:rowOff>
    </xdr:from>
    <xdr:to>
      <xdr:col>32</xdr:col>
      <xdr:colOff>818031</xdr:colOff>
      <xdr:row>26</xdr:row>
      <xdr:rowOff>152399</xdr:rowOff>
    </xdr:to>
    <xdr:sp macro="" textlink="">
      <xdr:nvSpPr>
        <xdr:cNvPr id="3" name="Rectángulo 2"/>
        <xdr:cNvSpPr/>
      </xdr:nvSpPr>
      <xdr:spPr>
        <a:xfrm>
          <a:off x="27888642" y="4689102"/>
          <a:ext cx="818589" cy="16864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anabria/Nueva%20carpeta%20(2)/1.%20ARCHIVOS%20EFICIENCIA%20ENERGETICA/2.%20INFORME%20TRIMESTRAL/4.%20A&#209;O%202020/MEMORIA%20DE%20CALCULO%20INDICADOR%20DE%20EFICIENCI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O ENERGETICO"/>
      <sheetName val="MENSUAL"/>
      <sheetName val="BIMESTRAL"/>
      <sheetName val="TRIMESTRAL"/>
      <sheetName val="SEMESTRAL"/>
      <sheetName val="ACUMULADO 2019"/>
      <sheetName val="GRAFICA INDICADOR 2015-2023"/>
      <sheetName val="MENSUAL COMPRESORES"/>
      <sheetName val="Resumen"/>
    </sheetNames>
    <sheetDataSet>
      <sheetData sheetId="0">
        <row r="65">
          <cell r="A65">
            <v>43831</v>
          </cell>
          <cell r="B65">
            <v>11870.23</v>
          </cell>
          <cell r="F65">
            <v>21297.09</v>
          </cell>
          <cell r="J65">
            <v>651</v>
          </cell>
          <cell r="K65">
            <v>6057.2015459332861</v>
          </cell>
          <cell r="L65">
            <v>24809.78</v>
          </cell>
          <cell r="O65">
            <v>50990.96</v>
          </cell>
          <cell r="S65">
            <v>744</v>
          </cell>
          <cell r="T65">
            <v>19621.990000000002</v>
          </cell>
          <cell r="W65">
            <v>39823.81</v>
          </cell>
          <cell r="AA65">
            <v>682</v>
          </cell>
        </row>
        <row r="66">
          <cell r="A66">
            <v>43862</v>
          </cell>
          <cell r="B66">
            <v>9014.39</v>
          </cell>
          <cell r="F66">
            <v>17093.5</v>
          </cell>
          <cell r="J66">
            <v>495</v>
          </cell>
          <cell r="K66">
            <v>6096.32</v>
          </cell>
          <cell r="L66">
            <v>22798.03</v>
          </cell>
          <cell r="O66">
            <v>47995.49</v>
          </cell>
          <cell r="S66">
            <v>695</v>
          </cell>
          <cell r="T66">
            <v>17611.03</v>
          </cell>
          <cell r="W66">
            <v>37921.08</v>
          </cell>
          <cell r="AA66">
            <v>645</v>
          </cell>
        </row>
        <row r="67">
          <cell r="A67">
            <v>43891</v>
          </cell>
          <cell r="B67">
            <v>13638.56</v>
          </cell>
          <cell r="F67">
            <v>25358.880000000001</v>
          </cell>
          <cell r="J67">
            <v>742</v>
          </cell>
          <cell r="K67">
            <v>5907.93</v>
          </cell>
          <cell r="L67">
            <v>21628.37</v>
          </cell>
          <cell r="O67">
            <v>44762.26</v>
          </cell>
          <cell r="S67">
            <v>662</v>
          </cell>
          <cell r="T67">
            <v>23527.03</v>
          </cell>
          <cell r="W67">
            <v>49436.89</v>
          </cell>
          <cell r="AA67">
            <v>744</v>
          </cell>
        </row>
        <row r="68">
          <cell r="A68">
            <v>43922</v>
          </cell>
          <cell r="B68">
            <v>10924.57</v>
          </cell>
          <cell r="F68">
            <v>20207.919999999998</v>
          </cell>
          <cell r="J68">
            <v>637</v>
          </cell>
          <cell r="K68">
            <v>5960.14</v>
          </cell>
          <cell r="L68">
            <v>20177.14</v>
          </cell>
          <cell r="O68">
            <v>42142.52</v>
          </cell>
          <cell r="S68">
            <v>640</v>
          </cell>
          <cell r="T68">
            <v>19494.689999999999</v>
          </cell>
          <cell r="W68">
            <v>41012.68</v>
          </cell>
          <cell r="AA68">
            <v>634</v>
          </cell>
        </row>
        <row r="69">
          <cell r="A69">
            <v>43952</v>
          </cell>
          <cell r="B69">
            <v>13012.54</v>
          </cell>
          <cell r="F69">
            <v>23455.59</v>
          </cell>
          <cell r="J69">
            <v>689</v>
          </cell>
          <cell r="K69">
            <v>5884.77</v>
          </cell>
          <cell r="L69">
            <v>21308.3</v>
          </cell>
          <cell r="O69">
            <v>44078.07</v>
          </cell>
          <cell r="S69">
            <v>655</v>
          </cell>
          <cell r="T69">
            <v>20740.73</v>
          </cell>
          <cell r="W69">
            <v>42992.82</v>
          </cell>
          <cell r="AA69">
            <v>656</v>
          </cell>
        </row>
        <row r="70">
          <cell r="A70">
            <v>43983</v>
          </cell>
          <cell r="B70">
            <v>213.16</v>
          </cell>
          <cell r="F70">
            <v>402.19</v>
          </cell>
          <cell r="J70">
            <v>16</v>
          </cell>
          <cell r="K70">
            <v>5974.02</v>
          </cell>
          <cell r="L70">
            <v>20974.48</v>
          </cell>
          <cell r="O70">
            <v>42416.97</v>
          </cell>
          <cell r="S70">
            <v>648</v>
          </cell>
          <cell r="T70">
            <v>21263.94</v>
          </cell>
          <cell r="W70">
            <v>44237.120000000003</v>
          </cell>
          <cell r="AA70">
            <v>666</v>
          </cell>
        </row>
        <row r="71">
          <cell r="A71">
            <v>44013</v>
          </cell>
          <cell r="B71">
            <v>1994.33</v>
          </cell>
          <cell r="F71">
            <v>3324.36</v>
          </cell>
          <cell r="J71">
            <v>120</v>
          </cell>
          <cell r="K71">
            <v>6246.74</v>
          </cell>
          <cell r="L71">
            <v>2448.23</v>
          </cell>
          <cell r="O71">
            <v>4835.3900000000003</v>
          </cell>
          <cell r="S71">
            <v>96</v>
          </cell>
          <cell r="T71">
            <v>2730.69</v>
          </cell>
          <cell r="W71">
            <v>5479.19</v>
          </cell>
          <cell r="AA71">
            <v>96</v>
          </cell>
        </row>
        <row r="72">
          <cell r="A72">
            <v>44044</v>
          </cell>
          <cell r="B72">
            <v>704.01</v>
          </cell>
          <cell r="F72">
            <v>1304.8599999999999</v>
          </cell>
          <cell r="J72">
            <v>47</v>
          </cell>
          <cell r="K72">
            <v>5877.46</v>
          </cell>
          <cell r="L72">
            <v>3440.81</v>
          </cell>
          <cell r="O72">
            <v>6307.9</v>
          </cell>
          <cell r="S72">
            <v>128</v>
          </cell>
          <cell r="T72">
            <v>187.26</v>
          </cell>
          <cell r="W72">
            <v>382.95</v>
          </cell>
          <cell r="AA72">
            <v>10</v>
          </cell>
        </row>
        <row r="73">
          <cell r="A73">
            <v>44075</v>
          </cell>
          <cell r="B73">
            <v>1425.12</v>
          </cell>
          <cell r="F73">
            <v>2740.61</v>
          </cell>
          <cell r="J73">
            <v>112</v>
          </cell>
          <cell r="K73">
            <v>6137.51</v>
          </cell>
          <cell r="L73">
            <v>1957.48</v>
          </cell>
          <cell r="O73">
            <v>4078.09</v>
          </cell>
          <cell r="S73">
            <v>65</v>
          </cell>
          <cell r="T73">
            <v>20.37</v>
          </cell>
          <cell r="W73">
            <v>42.44</v>
          </cell>
          <cell r="AA73">
            <v>3</v>
          </cell>
        </row>
        <row r="74">
          <cell r="A74">
            <v>44105</v>
          </cell>
          <cell r="B74">
            <v>6725.73</v>
          </cell>
          <cell r="F74">
            <v>12803.18</v>
          </cell>
          <cell r="J74">
            <v>398</v>
          </cell>
          <cell r="K74">
            <v>6080.76</v>
          </cell>
          <cell r="L74">
            <v>13069.43</v>
          </cell>
          <cell r="O74">
            <v>26614.78</v>
          </cell>
          <cell r="S74">
            <v>442</v>
          </cell>
          <cell r="T74">
            <v>10843.42</v>
          </cell>
          <cell r="W74">
            <v>23166.25</v>
          </cell>
          <cell r="AA74">
            <v>358</v>
          </cell>
        </row>
        <row r="75">
          <cell r="A75">
            <v>44136</v>
          </cell>
        </row>
        <row r="76">
          <cell r="A76">
            <v>44166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tabSelected="1" zoomScale="85" zoomScaleNormal="85" workbookViewId="0">
      <pane xSplit="1" ySplit="1" topLeftCell="S14" activePane="bottomRight" state="frozen"/>
      <selection pane="topRight" activeCell="B1" sqref="B1"/>
      <selection pane="bottomLeft" activeCell="A2" sqref="A2"/>
      <selection pane="bottomRight" activeCell="A27" sqref="A27:XFD27"/>
    </sheetView>
  </sheetViews>
  <sheetFormatPr baseColWidth="10" defaultRowHeight="12.75" x14ac:dyDescent="0.2"/>
  <cols>
    <col min="1" max="1" width="13.140625" style="38" customWidth="1"/>
    <col min="2" max="2" width="11.7109375" bestFit="1" customWidth="1"/>
    <col min="3" max="3" width="11.85546875" bestFit="1" customWidth="1"/>
    <col min="4" max="4" width="11.42578125" customWidth="1"/>
    <col min="5" max="5" width="10.5703125" customWidth="1"/>
    <col min="6" max="6" width="11.140625" customWidth="1"/>
    <col min="7" max="7" width="13.140625" customWidth="1"/>
    <col min="8" max="8" width="13.7109375" customWidth="1"/>
    <col min="9" max="11" width="13.7109375" style="43" customWidth="1"/>
    <col min="12" max="12" width="11.5703125" bestFit="1" customWidth="1"/>
    <col min="13" max="13" width="12.7109375" bestFit="1" customWidth="1"/>
    <col min="14" max="14" width="11.42578125" customWidth="1"/>
    <col min="15" max="15" width="13.85546875" customWidth="1"/>
    <col min="16" max="16" width="12.5703125" customWidth="1"/>
    <col min="17" max="17" width="14" customWidth="1"/>
    <col min="18" max="18" width="12.85546875" customWidth="1"/>
    <col min="19" max="19" width="12.7109375" bestFit="1" customWidth="1"/>
    <col min="20" max="20" width="13.140625" customWidth="1"/>
    <col min="21" max="21" width="10.5703125" style="103" customWidth="1"/>
    <col min="22" max="22" width="11.140625" style="103" customWidth="1"/>
    <col min="23" max="23" width="11.42578125" style="103" customWidth="1"/>
    <col min="24" max="24" width="7.42578125" customWidth="1"/>
    <col min="25" max="25" width="11.5703125" bestFit="1" customWidth="1"/>
    <col min="26" max="26" width="11.140625" bestFit="1" customWidth="1"/>
    <col min="27" max="27" width="11.5703125" bestFit="1" customWidth="1"/>
    <col min="29" max="29" width="20.5703125" customWidth="1"/>
    <col min="30" max="30" width="23.140625" customWidth="1"/>
    <col min="32" max="32" width="24.140625" bestFit="1" customWidth="1"/>
    <col min="33" max="33" width="12.5703125" bestFit="1" customWidth="1"/>
    <col min="34" max="35" width="8.5703125" customWidth="1"/>
    <col min="36" max="40" width="15.7109375" style="38" customWidth="1"/>
    <col min="41" max="41" width="14.5703125" bestFit="1" customWidth="1"/>
  </cols>
  <sheetData>
    <row r="1" spans="1:41" s="5" customFormat="1" ht="51" x14ac:dyDescent="0.2">
      <c r="A1" s="119" t="s">
        <v>0</v>
      </c>
      <c r="B1" s="121" t="s">
        <v>1</v>
      </c>
      <c r="C1" s="122"/>
      <c r="D1" s="123"/>
      <c r="E1" s="124" t="s">
        <v>2</v>
      </c>
      <c r="F1" s="125"/>
      <c r="G1" s="126"/>
      <c r="H1" s="127" t="s">
        <v>3</v>
      </c>
      <c r="I1" s="129" t="s">
        <v>4</v>
      </c>
      <c r="J1" s="130"/>
      <c r="K1" s="130"/>
      <c r="L1" s="113" t="s">
        <v>5</v>
      </c>
      <c r="M1" s="114"/>
      <c r="N1" s="114"/>
      <c r="O1" s="107" t="s">
        <v>6</v>
      </c>
      <c r="P1" s="107"/>
      <c r="Q1" s="107"/>
      <c r="R1" s="108" t="s">
        <v>7</v>
      </c>
      <c r="S1" s="109"/>
      <c r="T1" s="109"/>
      <c r="U1" s="110" t="s">
        <v>8</v>
      </c>
      <c r="V1" s="111"/>
      <c r="W1" s="111"/>
      <c r="X1" s="112"/>
      <c r="Y1" s="113" t="s">
        <v>9</v>
      </c>
      <c r="Z1" s="114"/>
      <c r="AA1" s="114"/>
      <c r="AB1" s="1"/>
      <c r="AC1" s="2" t="s">
        <v>10</v>
      </c>
      <c r="AD1" s="3" t="s">
        <v>11</v>
      </c>
      <c r="AE1" s="1"/>
      <c r="AF1" s="4" t="s">
        <v>12</v>
      </c>
      <c r="AG1" s="4" t="s">
        <v>13</v>
      </c>
      <c r="AJ1" s="115" t="s">
        <v>14</v>
      </c>
      <c r="AK1" s="115"/>
      <c r="AL1" s="115"/>
      <c r="AM1" s="115"/>
      <c r="AN1" s="6" t="s">
        <v>15</v>
      </c>
    </row>
    <row r="2" spans="1:41" s="5" customFormat="1" ht="25.5" x14ac:dyDescent="0.2">
      <c r="A2" s="120"/>
      <c r="B2" s="7" t="s">
        <v>16</v>
      </c>
      <c r="C2" s="7" t="s">
        <v>17</v>
      </c>
      <c r="D2" s="7" t="s">
        <v>18</v>
      </c>
      <c r="E2" s="8" t="s">
        <v>16</v>
      </c>
      <c r="F2" s="8" t="s">
        <v>17</v>
      </c>
      <c r="G2" s="8" t="s">
        <v>18</v>
      </c>
      <c r="H2" s="128"/>
      <c r="I2" s="9" t="s">
        <v>16</v>
      </c>
      <c r="J2" s="9" t="s">
        <v>17</v>
      </c>
      <c r="K2" s="9" t="s">
        <v>18</v>
      </c>
      <c r="L2" s="10" t="s">
        <v>16</v>
      </c>
      <c r="M2" s="10" t="s">
        <v>17</v>
      </c>
      <c r="N2" s="10" t="s">
        <v>18</v>
      </c>
      <c r="O2" s="11" t="s">
        <v>16</v>
      </c>
      <c r="P2" s="11" t="s">
        <v>17</v>
      </c>
      <c r="Q2" s="11" t="s">
        <v>18</v>
      </c>
      <c r="R2" s="12" t="s">
        <v>16</v>
      </c>
      <c r="S2" s="12" t="s">
        <v>17</v>
      </c>
      <c r="T2" s="12" t="s">
        <v>18</v>
      </c>
      <c r="U2" s="13" t="s">
        <v>16</v>
      </c>
      <c r="V2" s="13" t="s">
        <v>17</v>
      </c>
      <c r="W2" s="13" t="s">
        <v>18</v>
      </c>
      <c r="X2" s="14" t="s">
        <v>19</v>
      </c>
      <c r="Y2" s="10" t="s">
        <v>16</v>
      </c>
      <c r="Z2" s="10" t="s">
        <v>17</v>
      </c>
      <c r="AA2" s="10" t="s">
        <v>18</v>
      </c>
      <c r="AB2" s="11"/>
      <c r="AC2" s="15" t="s">
        <v>20</v>
      </c>
      <c r="AD2" s="15" t="s">
        <v>20</v>
      </c>
      <c r="AE2" s="11"/>
      <c r="AF2" s="16" t="s">
        <v>20</v>
      </c>
      <c r="AG2" s="16" t="s">
        <v>20</v>
      </c>
      <c r="AJ2" s="17" t="s">
        <v>16</v>
      </c>
      <c r="AK2" s="17" t="s">
        <v>17</v>
      </c>
      <c r="AL2" s="17" t="s">
        <v>18</v>
      </c>
      <c r="AM2" s="17" t="s">
        <v>20</v>
      </c>
      <c r="AN2" s="18" t="s">
        <v>20</v>
      </c>
    </row>
    <row r="3" spans="1:41" x14ac:dyDescent="0.2">
      <c r="A3" s="19">
        <f>'[1]CONSUMO ENERGETICO'!A65</f>
        <v>43831</v>
      </c>
      <c r="B3" s="20">
        <f>'[1]CONSUMO ENERGETICO'!F65</f>
        <v>21297.09</v>
      </c>
      <c r="C3" s="20">
        <f>'[1]CONSUMO ENERGETICO'!O65</f>
        <v>50990.96</v>
      </c>
      <c r="D3" s="20">
        <f>'[1]CONSUMO ENERGETICO'!W65</f>
        <v>39823.81</v>
      </c>
      <c r="E3" s="21">
        <f>'[1]CONSUMO ENERGETICO'!B65</f>
        <v>11870.23</v>
      </c>
      <c r="F3" s="21">
        <f>'[1]CONSUMO ENERGETICO'!L65</f>
        <v>24809.78</v>
      </c>
      <c r="G3" s="21">
        <f>'[1]CONSUMO ENERGETICO'!T65</f>
        <v>19621.990000000002</v>
      </c>
      <c r="H3" s="22">
        <f>'[1]CONSUMO ENERGETICO'!K65</f>
        <v>6057.2015459332861</v>
      </c>
      <c r="I3" s="23">
        <f>+E3*H3*3.97/1000</f>
        <v>285444.4907611371</v>
      </c>
      <c r="J3" s="23">
        <f>+F3*H3*3.97/1000</f>
        <v>596603.015947951</v>
      </c>
      <c r="K3" s="23">
        <f>+G3*H3*3.97/1000</f>
        <v>471851.76220428135</v>
      </c>
      <c r="L3" s="24">
        <f>+I3/B3</f>
        <v>13.402980912469125</v>
      </c>
      <c r="M3" s="24">
        <f t="shared" ref="M3:N12" si="0">+J3/C3</f>
        <v>11.70017226480833</v>
      </c>
      <c r="N3" s="24">
        <f t="shared" si="0"/>
        <v>11.848483663523941</v>
      </c>
      <c r="O3" s="25">
        <f>+'[1]CONSUMO ENERGETICO'!J65</f>
        <v>651</v>
      </c>
      <c r="P3" s="25">
        <f>+'[1]CONSUMO ENERGETICO'!S65</f>
        <v>744</v>
      </c>
      <c r="Q3" s="25">
        <f>+'[1]CONSUMO ENERGETICO'!AA65</f>
        <v>682</v>
      </c>
      <c r="R3" s="26">
        <f t="shared" ref="R3:T12" si="1">+B3/O3</f>
        <v>32.71442396313364</v>
      </c>
      <c r="S3" s="26">
        <f t="shared" si="1"/>
        <v>68.53623655913978</v>
      </c>
      <c r="T3" s="26">
        <f t="shared" si="1"/>
        <v>58.392683284457476</v>
      </c>
      <c r="U3" s="27">
        <v>36</v>
      </c>
      <c r="V3" s="25">
        <v>72</v>
      </c>
      <c r="W3" s="25">
        <v>70</v>
      </c>
      <c r="X3" s="27">
        <f t="shared" ref="X3:X12" si="2">+U3+V3+W3</f>
        <v>178</v>
      </c>
      <c r="Y3" s="28">
        <f t="shared" ref="Y3:Y12" si="3">L3-(U3-R3)*0.0361</f>
        <v>13.28437161753825</v>
      </c>
      <c r="Z3" s="28">
        <f t="shared" ref="Z3:Z12" si="4">M3-(V3-S3)*0.0227</f>
        <v>11.621544834700803</v>
      </c>
      <c r="AA3" s="28">
        <f t="shared" ref="AA3:AA12" si="5">N3-(W3-T3)*0.0199</f>
        <v>11.617498060884646</v>
      </c>
      <c r="AB3" s="25"/>
      <c r="AC3" s="29">
        <f>L3*(U3/X3)+M3*(V3/X3)+N3*(W3/X3)</f>
        <v>12.10288523798744</v>
      </c>
      <c r="AD3" s="29">
        <f t="shared" ref="AD3:AD12" si="6">3.41214/AC3*100</f>
        <v>28.19278157980284</v>
      </c>
      <c r="AE3" s="25"/>
      <c r="AF3" s="30">
        <f t="shared" ref="AF3:AF12" si="7">+Y3*(U3/X3)+Z3*(V3/X3)+AA3*(W3/X3)</f>
        <v>11.956255452762697</v>
      </c>
      <c r="AG3" s="30">
        <f t="shared" ref="AG3:AG12" si="8">3.41214/AF3*100</f>
        <v>28.538533769881663</v>
      </c>
      <c r="AJ3" s="32">
        <v>12.5398</v>
      </c>
      <c r="AK3" s="32">
        <v>11.514200000000001</v>
      </c>
      <c r="AL3" s="32">
        <v>11.688599999999999</v>
      </c>
      <c r="AM3" s="32">
        <v>11.7902</v>
      </c>
      <c r="AN3" s="33">
        <v>28.94</v>
      </c>
    </row>
    <row r="4" spans="1:41" x14ac:dyDescent="0.2">
      <c r="A4" s="19">
        <f>'[1]CONSUMO ENERGETICO'!A66</f>
        <v>43862</v>
      </c>
      <c r="B4" s="20">
        <f>'[1]CONSUMO ENERGETICO'!F66</f>
        <v>17093.5</v>
      </c>
      <c r="C4" s="20">
        <f>'[1]CONSUMO ENERGETICO'!O66</f>
        <v>47995.49</v>
      </c>
      <c r="D4" s="20">
        <f>'[1]CONSUMO ENERGETICO'!W66</f>
        <v>37921.08</v>
      </c>
      <c r="E4" s="21">
        <f>'[1]CONSUMO ENERGETICO'!B66</f>
        <v>9014.39</v>
      </c>
      <c r="F4" s="21">
        <f>'[1]CONSUMO ENERGETICO'!L66</f>
        <v>22798.03</v>
      </c>
      <c r="G4" s="21">
        <f>'[1]CONSUMO ENERGETICO'!T66</f>
        <v>17611.03</v>
      </c>
      <c r="H4" s="34">
        <f>'[1]CONSUMO ENERGETICO'!K66</f>
        <v>6096.32</v>
      </c>
      <c r="I4" s="23">
        <f t="shared" ref="I4:I12" si="9">+E4*H4*3.97/1000</f>
        <v>218169.78599785597</v>
      </c>
      <c r="J4" s="23">
        <f t="shared" ref="J4:J12" si="10">+F4*H4*3.97/1000</f>
        <v>551766.82241091202</v>
      </c>
      <c r="K4" s="23">
        <f t="shared" ref="K4:K12" si="11">+G4*H4*3.97/1000</f>
        <v>426229.02340611198</v>
      </c>
      <c r="L4" s="24">
        <f t="shared" ref="L4:L12" si="12">+I4/B4</f>
        <v>12.763318571261355</v>
      </c>
      <c r="M4" s="24">
        <f t="shared" si="0"/>
        <v>11.496222299447552</v>
      </c>
      <c r="N4" s="24">
        <f t="shared" si="0"/>
        <v>11.239896738334245</v>
      </c>
      <c r="O4" s="25">
        <f>+'[1]CONSUMO ENERGETICO'!J66</f>
        <v>495</v>
      </c>
      <c r="P4" s="25">
        <f>+'[1]CONSUMO ENERGETICO'!S66</f>
        <v>695</v>
      </c>
      <c r="Q4" s="25">
        <f>+'[1]CONSUMO ENERGETICO'!AA66</f>
        <v>645</v>
      </c>
      <c r="R4" s="26">
        <f t="shared" si="1"/>
        <v>34.532323232323229</v>
      </c>
      <c r="S4" s="26">
        <f t="shared" si="1"/>
        <v>69.058258992805747</v>
      </c>
      <c r="T4" s="26">
        <f t="shared" si="1"/>
        <v>58.792372093023261</v>
      </c>
      <c r="U4" s="27">
        <v>36</v>
      </c>
      <c r="V4" s="25">
        <v>72</v>
      </c>
      <c r="W4" s="25">
        <v>70</v>
      </c>
      <c r="X4" s="27">
        <f t="shared" si="2"/>
        <v>178</v>
      </c>
      <c r="Y4" s="28">
        <f t="shared" si="3"/>
        <v>12.710335439948222</v>
      </c>
      <c r="Z4" s="28">
        <f t="shared" si="4"/>
        <v>11.429444778584243</v>
      </c>
      <c r="AA4" s="28">
        <f t="shared" si="5"/>
        <v>11.016864942985409</v>
      </c>
      <c r="AB4" s="25"/>
      <c r="AC4" s="29">
        <f t="shared" ref="AC4:AC12" si="13">L4*(U4/X4)+M4*(V4/X4)+N4*(W4/X4)</f>
        <v>11.651686774208031</v>
      </c>
      <c r="AD4" s="29">
        <f t="shared" si="6"/>
        <v>29.284515333462728</v>
      </c>
      <c r="AE4" s="25"/>
      <c r="AF4" s="30">
        <f t="shared" si="7"/>
        <v>11.526250819692022</v>
      </c>
      <c r="AG4" s="30">
        <f t="shared" si="8"/>
        <v>29.603207958745177</v>
      </c>
      <c r="AJ4" s="35">
        <f>3.41214/AJ3</f>
        <v>0.27210481825866439</v>
      </c>
      <c r="AK4" s="35">
        <f t="shared" ref="AK4:AL4" si="14">3.41214/AK3</f>
        <v>0.29634190825241874</v>
      </c>
      <c r="AL4" s="35">
        <f t="shared" si="14"/>
        <v>0.29192033263179512</v>
      </c>
      <c r="AM4" s="35">
        <f>3.41214/AM3</f>
        <v>0.28940475988532849</v>
      </c>
      <c r="AN4" s="36"/>
    </row>
    <row r="5" spans="1:41" x14ac:dyDescent="0.2">
      <c r="A5" s="19">
        <f>'[1]CONSUMO ENERGETICO'!A67</f>
        <v>43891</v>
      </c>
      <c r="B5" s="20">
        <f>'[1]CONSUMO ENERGETICO'!F67</f>
        <v>25358.880000000001</v>
      </c>
      <c r="C5" s="20">
        <f>'[1]CONSUMO ENERGETICO'!O67</f>
        <v>44762.26</v>
      </c>
      <c r="D5" s="20">
        <f>'[1]CONSUMO ENERGETICO'!W67</f>
        <v>49436.89</v>
      </c>
      <c r="E5" s="21">
        <f>'[1]CONSUMO ENERGETICO'!B67</f>
        <v>13638.56</v>
      </c>
      <c r="F5" s="21">
        <f>'[1]CONSUMO ENERGETICO'!L67</f>
        <v>21628.37</v>
      </c>
      <c r="G5" s="21">
        <f>'[1]CONSUMO ENERGETICO'!T67</f>
        <v>23527.03</v>
      </c>
      <c r="H5" s="34">
        <f>'[1]CONSUMO ENERGETICO'!K67</f>
        <v>5907.93</v>
      </c>
      <c r="I5" s="23">
        <f t="shared" si="9"/>
        <v>319885.36138977599</v>
      </c>
      <c r="J5" s="23">
        <f t="shared" si="10"/>
        <v>507282.21701717697</v>
      </c>
      <c r="K5" s="23">
        <f t="shared" si="11"/>
        <v>551814.30400116299</v>
      </c>
      <c r="L5" s="24">
        <f t="shared" si="12"/>
        <v>12.614333179926557</v>
      </c>
      <c r="M5" s="24">
        <f t="shared" si="0"/>
        <v>11.332810653822595</v>
      </c>
      <c r="N5" s="24">
        <f t="shared" si="0"/>
        <v>11.161994696696395</v>
      </c>
      <c r="O5" s="25">
        <f>+'[1]CONSUMO ENERGETICO'!J67</f>
        <v>742</v>
      </c>
      <c r="P5" s="25">
        <f>+'[1]CONSUMO ENERGETICO'!S67</f>
        <v>662</v>
      </c>
      <c r="Q5" s="25">
        <f>+'[1]CONSUMO ENERGETICO'!AA67</f>
        <v>744</v>
      </c>
      <c r="R5" s="26">
        <f t="shared" si="1"/>
        <v>34.176388140161727</v>
      </c>
      <c r="S5" s="26">
        <f t="shared" si="1"/>
        <v>67.616706948640484</v>
      </c>
      <c r="T5" s="26">
        <f t="shared" si="1"/>
        <v>66.44743279569893</v>
      </c>
      <c r="U5" s="27">
        <v>36</v>
      </c>
      <c r="V5" s="25">
        <v>72</v>
      </c>
      <c r="W5" s="25">
        <v>70</v>
      </c>
      <c r="X5" s="27">
        <f t="shared" si="2"/>
        <v>178</v>
      </c>
      <c r="Y5" s="28">
        <f t="shared" si="3"/>
        <v>12.548500791786395</v>
      </c>
      <c r="Z5" s="28">
        <f t="shared" si="4"/>
        <v>11.233309901556733</v>
      </c>
      <c r="AA5" s="28">
        <f t="shared" si="5"/>
        <v>11.091298609330803</v>
      </c>
      <c r="AB5" s="25"/>
      <c r="AC5" s="29">
        <f t="shared" si="13"/>
        <v>11.524820170344555</v>
      </c>
      <c r="AD5" s="29">
        <f t="shared" si="6"/>
        <v>29.606882793538531</v>
      </c>
      <c r="AE5" s="25"/>
      <c r="AF5" s="30">
        <f t="shared" si="7"/>
        <v>11.443456427357031</v>
      </c>
      <c r="AG5" s="30">
        <f t="shared" si="8"/>
        <v>29.817389716649313</v>
      </c>
      <c r="AJ5" s="37"/>
    </row>
    <row r="6" spans="1:41" x14ac:dyDescent="0.2">
      <c r="A6" s="19">
        <f>'[1]CONSUMO ENERGETICO'!A68</f>
        <v>43922</v>
      </c>
      <c r="B6" s="20">
        <f>'[1]CONSUMO ENERGETICO'!F68</f>
        <v>20207.919999999998</v>
      </c>
      <c r="C6" s="20">
        <f>'[1]CONSUMO ENERGETICO'!O68</f>
        <v>42142.52</v>
      </c>
      <c r="D6" s="20">
        <f>'[1]CONSUMO ENERGETICO'!W68</f>
        <v>41012.68</v>
      </c>
      <c r="E6" s="21">
        <f>'[1]CONSUMO ENERGETICO'!B68</f>
        <v>10924.57</v>
      </c>
      <c r="F6" s="21">
        <f>'[1]CONSUMO ENERGETICO'!L68</f>
        <v>20177.14</v>
      </c>
      <c r="G6" s="21">
        <f>'[1]CONSUMO ENERGETICO'!T68</f>
        <v>19494.689999999999</v>
      </c>
      <c r="H6" s="34">
        <f>'[1]CONSUMO ENERGETICO'!K68</f>
        <v>5960.14</v>
      </c>
      <c r="I6" s="23">
        <f t="shared" si="9"/>
        <v>258494.50756000602</v>
      </c>
      <c r="J6" s="23">
        <f t="shared" si="10"/>
        <v>477426.55942241201</v>
      </c>
      <c r="K6" s="23">
        <f t="shared" si="11"/>
        <v>461278.59417670203</v>
      </c>
      <c r="L6" s="24">
        <f t="shared" si="12"/>
        <v>12.791742423762864</v>
      </c>
      <c r="M6" s="24">
        <f t="shared" si="0"/>
        <v>11.328856447654578</v>
      </c>
      <c r="N6" s="24">
        <f t="shared" si="0"/>
        <v>11.247219010723075</v>
      </c>
      <c r="O6" s="25">
        <f>+'[1]CONSUMO ENERGETICO'!J68</f>
        <v>637</v>
      </c>
      <c r="P6" s="25">
        <f>+'[1]CONSUMO ENERGETICO'!S68</f>
        <v>640</v>
      </c>
      <c r="Q6" s="25">
        <f>+'[1]CONSUMO ENERGETICO'!AA68</f>
        <v>634</v>
      </c>
      <c r="R6" s="26">
        <f t="shared" si="1"/>
        <v>31.723579277864989</v>
      </c>
      <c r="S6" s="26">
        <f t="shared" si="1"/>
        <v>65.847687499999992</v>
      </c>
      <c r="T6" s="26">
        <f t="shared" si="1"/>
        <v>64.688769716088331</v>
      </c>
      <c r="U6" s="27">
        <v>36</v>
      </c>
      <c r="V6" s="25">
        <v>72</v>
      </c>
      <c r="W6" s="25">
        <v>70</v>
      </c>
      <c r="X6" s="27">
        <f t="shared" si="2"/>
        <v>178</v>
      </c>
      <c r="Y6" s="28">
        <f t="shared" si="3"/>
        <v>12.63736363569379</v>
      </c>
      <c r="Z6" s="28">
        <f t="shared" si="4"/>
        <v>11.189198953904578</v>
      </c>
      <c r="AA6" s="28">
        <f t="shared" si="5"/>
        <v>11.141525528073233</v>
      </c>
      <c r="AB6" s="25"/>
      <c r="AC6" s="29">
        <f t="shared" si="13"/>
        <v>11.592616417062967</v>
      </c>
      <c r="AD6" s="29">
        <f t="shared" si="6"/>
        <v>29.433735036533527</v>
      </c>
      <c r="AE6" s="25"/>
      <c r="AF6" s="30">
        <f t="shared" si="7"/>
        <v>11.463338216467598</v>
      </c>
      <c r="AG6" s="30">
        <f t="shared" si="8"/>
        <v>29.765675020373283</v>
      </c>
    </row>
    <row r="7" spans="1:41" x14ac:dyDescent="0.2">
      <c r="A7" s="19">
        <f>'[1]CONSUMO ENERGETICO'!A69</f>
        <v>43952</v>
      </c>
      <c r="B7" s="20">
        <f>'[1]CONSUMO ENERGETICO'!F69</f>
        <v>23455.59</v>
      </c>
      <c r="C7" s="20">
        <f>'[1]CONSUMO ENERGETICO'!O69</f>
        <v>44078.07</v>
      </c>
      <c r="D7" s="20">
        <f>'[1]CONSUMO ENERGETICO'!W69</f>
        <v>42992.82</v>
      </c>
      <c r="E7" s="21">
        <f>'[1]CONSUMO ENERGETICO'!B69</f>
        <v>13012.54</v>
      </c>
      <c r="F7" s="21">
        <f>'[1]CONSUMO ENERGETICO'!L69</f>
        <v>21308.3</v>
      </c>
      <c r="G7" s="21">
        <f>'[1]CONSUMO ENERGETICO'!T69</f>
        <v>20740.73</v>
      </c>
      <c r="H7" s="34">
        <f>'[1]CONSUMO ENERGETICO'!K69</f>
        <v>5884.77</v>
      </c>
      <c r="I7" s="23">
        <f t="shared" si="9"/>
        <v>304005.94591272605</v>
      </c>
      <c r="J7" s="23">
        <f t="shared" si="10"/>
        <v>497815.94502627006</v>
      </c>
      <c r="K7" s="23">
        <f t="shared" si="11"/>
        <v>484556.06995793706</v>
      </c>
      <c r="L7" s="24">
        <f t="shared" si="12"/>
        <v>12.960916605070521</v>
      </c>
      <c r="M7" s="24">
        <f t="shared" si="0"/>
        <v>11.293959672605222</v>
      </c>
      <c r="N7" s="24">
        <f t="shared" si="0"/>
        <v>11.270627745701191</v>
      </c>
      <c r="O7" s="25">
        <f>+'[1]CONSUMO ENERGETICO'!J69</f>
        <v>689</v>
      </c>
      <c r="P7" s="25">
        <f>+'[1]CONSUMO ENERGETICO'!S69</f>
        <v>655</v>
      </c>
      <c r="Q7" s="25">
        <f>+'[1]CONSUMO ENERGETICO'!AA69</f>
        <v>656</v>
      </c>
      <c r="R7" s="26">
        <f t="shared" si="1"/>
        <v>34.042946298984035</v>
      </c>
      <c r="S7" s="26">
        <f t="shared" si="1"/>
        <v>67.294763358778624</v>
      </c>
      <c r="T7" s="26">
        <f t="shared" si="1"/>
        <v>65.537835365853653</v>
      </c>
      <c r="U7" s="27">
        <v>36</v>
      </c>
      <c r="V7" s="25">
        <v>72</v>
      </c>
      <c r="W7" s="25">
        <v>70</v>
      </c>
      <c r="X7" s="27">
        <f t="shared" si="2"/>
        <v>178</v>
      </c>
      <c r="Y7" s="28">
        <f t="shared" si="3"/>
        <v>12.890266966463845</v>
      </c>
      <c r="Z7" s="28">
        <f t="shared" si="4"/>
        <v>11.187150800849498</v>
      </c>
      <c r="AA7" s="28">
        <f t="shared" si="5"/>
        <v>11.181830669481679</v>
      </c>
      <c r="AB7" s="25"/>
      <c r="AC7" s="29">
        <f t="shared" si="13"/>
        <v>11.621921552860663</v>
      </c>
      <c r="AD7" s="29">
        <f t="shared" si="6"/>
        <v>29.359516707115642</v>
      </c>
      <c r="AE7" s="25"/>
      <c r="AF7" s="30">
        <f t="shared" si="7"/>
        <v>11.529509074817863</v>
      </c>
      <c r="AG7" s="30">
        <f t="shared" si="8"/>
        <v>29.594842051450517</v>
      </c>
      <c r="AJ7" s="31"/>
      <c r="AK7" s="31"/>
      <c r="AL7" s="31"/>
      <c r="AM7" s="31"/>
      <c r="AN7" s="31"/>
      <c r="AO7" s="39"/>
    </row>
    <row r="8" spans="1:41" x14ac:dyDescent="0.2">
      <c r="A8" s="19">
        <f>'[1]CONSUMO ENERGETICO'!A70</f>
        <v>43983</v>
      </c>
      <c r="B8" s="20">
        <f>'[1]CONSUMO ENERGETICO'!F70</f>
        <v>402.19</v>
      </c>
      <c r="C8" s="20">
        <f>'[1]CONSUMO ENERGETICO'!O70</f>
        <v>42416.97</v>
      </c>
      <c r="D8" s="20">
        <f>'[1]CONSUMO ENERGETICO'!W70</f>
        <v>44237.120000000003</v>
      </c>
      <c r="E8" s="21">
        <f>'[1]CONSUMO ENERGETICO'!B70</f>
        <v>213.16</v>
      </c>
      <c r="F8" s="21">
        <f>'[1]CONSUMO ENERGETICO'!L70</f>
        <v>20974.48</v>
      </c>
      <c r="G8" s="21">
        <f>'[1]CONSUMO ENERGETICO'!T70</f>
        <v>21263.94</v>
      </c>
      <c r="H8" s="34">
        <f>'[1]CONSUMO ENERGETICO'!K70</f>
        <v>5974.02</v>
      </c>
      <c r="I8" s="23">
        <f t="shared" si="9"/>
        <v>5055.4857497040002</v>
      </c>
      <c r="J8" s="23">
        <f t="shared" si="10"/>
        <v>497448.79314811208</v>
      </c>
      <c r="K8" s="23">
        <f t="shared" si="11"/>
        <v>504313.87527003605</v>
      </c>
      <c r="L8" s="24">
        <f t="shared" si="12"/>
        <v>12.569894203495862</v>
      </c>
      <c r="M8" s="24">
        <f t="shared" si="0"/>
        <v>11.727589055703698</v>
      </c>
      <c r="N8" s="24">
        <f t="shared" si="0"/>
        <v>11.400242042656394</v>
      </c>
      <c r="O8" s="25">
        <f>+'[1]CONSUMO ENERGETICO'!J70</f>
        <v>16</v>
      </c>
      <c r="P8" s="25">
        <f>+'[1]CONSUMO ENERGETICO'!S70</f>
        <v>648</v>
      </c>
      <c r="Q8" s="25">
        <f>+'[1]CONSUMO ENERGETICO'!AA70</f>
        <v>666</v>
      </c>
      <c r="R8" s="26">
        <f t="shared" si="1"/>
        <v>25.136875</v>
      </c>
      <c r="S8" s="26">
        <f t="shared" si="1"/>
        <v>65.458287037037039</v>
      </c>
      <c r="T8" s="26">
        <f t="shared" si="1"/>
        <v>66.422102102102102</v>
      </c>
      <c r="U8" s="27">
        <v>36</v>
      </c>
      <c r="V8" s="25">
        <v>72</v>
      </c>
      <c r="W8" s="25">
        <v>70</v>
      </c>
      <c r="X8" s="27">
        <f t="shared" si="2"/>
        <v>178</v>
      </c>
      <c r="Y8" s="28">
        <f t="shared" si="3"/>
        <v>12.177735390995862</v>
      </c>
      <c r="Z8" s="28">
        <f t="shared" si="4"/>
        <v>11.579092171444438</v>
      </c>
      <c r="AA8" s="28">
        <f t="shared" si="5"/>
        <v>11.329041874488226</v>
      </c>
      <c r="AB8" s="25"/>
      <c r="AC8" s="29">
        <f t="shared" si="13"/>
        <v>11.76921093439587</v>
      </c>
      <c r="AD8" s="29">
        <f t="shared" si="6"/>
        <v>28.992088076422519</v>
      </c>
      <c r="AE8" s="25"/>
      <c r="AF8" s="30">
        <f t="shared" si="7"/>
        <v>11.601831694573182</v>
      </c>
      <c r="AG8" s="30">
        <f t="shared" si="8"/>
        <v>29.410355966429393</v>
      </c>
    </row>
    <row r="9" spans="1:41" x14ac:dyDescent="0.2">
      <c r="A9" s="19">
        <f>'[1]CONSUMO ENERGETICO'!A71</f>
        <v>44013</v>
      </c>
      <c r="B9" s="20">
        <f>'[1]CONSUMO ENERGETICO'!F71</f>
        <v>3324.36</v>
      </c>
      <c r="C9" s="20">
        <f>'[1]CONSUMO ENERGETICO'!O71</f>
        <v>4835.3900000000003</v>
      </c>
      <c r="D9" s="20">
        <f>'[1]CONSUMO ENERGETICO'!W71</f>
        <v>5479.19</v>
      </c>
      <c r="E9" s="21">
        <f>'[1]CONSUMO ENERGETICO'!B71</f>
        <v>1994.33</v>
      </c>
      <c r="F9" s="21">
        <f>'[1]CONSUMO ENERGETICO'!L71</f>
        <v>2448.23</v>
      </c>
      <c r="G9" s="21">
        <f>'[1]CONSUMO ENERGETICO'!T71</f>
        <v>2730.69</v>
      </c>
      <c r="H9" s="34">
        <f>'[1]CONSUMO ENERGETICO'!K71</f>
        <v>6246.74</v>
      </c>
      <c r="I9" s="23">
        <f t="shared" si="9"/>
        <v>49458.502107273998</v>
      </c>
      <c r="J9" s="23">
        <f t="shared" si="10"/>
        <v>60715.021392693998</v>
      </c>
      <c r="K9" s="23">
        <f t="shared" si="11"/>
        <v>67719.904488881992</v>
      </c>
      <c r="L9" s="24">
        <f t="shared" si="12"/>
        <v>14.877601134436102</v>
      </c>
      <c r="M9" s="24">
        <f t="shared" si="0"/>
        <v>12.556385605441132</v>
      </c>
      <c r="N9" s="24">
        <f t="shared" si="0"/>
        <v>12.359473661048805</v>
      </c>
      <c r="O9" s="25">
        <f>+'[1]CONSUMO ENERGETICO'!J71</f>
        <v>120</v>
      </c>
      <c r="P9" s="25">
        <f>+'[1]CONSUMO ENERGETICO'!S71</f>
        <v>96</v>
      </c>
      <c r="Q9" s="25">
        <f>+'[1]CONSUMO ENERGETICO'!AA71</f>
        <v>96</v>
      </c>
      <c r="R9" s="26">
        <f t="shared" si="1"/>
        <v>27.702999999999999</v>
      </c>
      <c r="S9" s="26">
        <f t="shared" si="1"/>
        <v>50.368645833333339</v>
      </c>
      <c r="T9" s="26">
        <f t="shared" si="1"/>
        <v>57.074895833333329</v>
      </c>
      <c r="U9" s="27">
        <v>36</v>
      </c>
      <c r="V9" s="25">
        <v>72</v>
      </c>
      <c r="W9" s="25">
        <v>70</v>
      </c>
      <c r="X9" s="27">
        <f t="shared" si="2"/>
        <v>178</v>
      </c>
      <c r="Y9" s="28">
        <f t="shared" si="3"/>
        <v>14.578079434436102</v>
      </c>
      <c r="Z9" s="28">
        <f t="shared" si="4"/>
        <v>12.0653538658578</v>
      </c>
      <c r="AA9" s="28">
        <f t="shared" si="5"/>
        <v>12.102264088132138</v>
      </c>
      <c r="AB9" s="25"/>
      <c r="AC9" s="29">
        <f t="shared" si="13"/>
        <v>12.948407644409425</v>
      </c>
      <c r="AD9" s="29">
        <f t="shared" si="6"/>
        <v>26.351811695341688</v>
      </c>
      <c r="AE9" s="25"/>
      <c r="AF9" s="30">
        <f t="shared" si="7"/>
        <v>12.588060809835454</v>
      </c>
      <c r="AG9" s="30">
        <f t="shared" si="8"/>
        <v>27.106160762537673</v>
      </c>
    </row>
    <row r="10" spans="1:41" x14ac:dyDescent="0.2">
      <c r="A10" s="19">
        <f>'[1]CONSUMO ENERGETICO'!A72</f>
        <v>44044</v>
      </c>
      <c r="B10" s="20">
        <f>'[1]CONSUMO ENERGETICO'!F72</f>
        <v>1304.8599999999999</v>
      </c>
      <c r="C10" s="20">
        <f>'[1]CONSUMO ENERGETICO'!O72</f>
        <v>6307.9</v>
      </c>
      <c r="D10" s="20">
        <f>'[1]CONSUMO ENERGETICO'!W72</f>
        <v>382.95</v>
      </c>
      <c r="E10" s="21">
        <f>'[1]CONSUMO ENERGETICO'!B72</f>
        <v>704.01</v>
      </c>
      <c r="F10" s="21">
        <f>'[1]CONSUMO ENERGETICO'!L72</f>
        <v>3440.81</v>
      </c>
      <c r="G10" s="21">
        <f>'[1]CONSUMO ENERGETICO'!T72</f>
        <v>187.26</v>
      </c>
      <c r="H10" s="34">
        <f>'[1]CONSUMO ENERGETICO'!K72</f>
        <v>5877.46</v>
      </c>
      <c r="I10" s="23">
        <f t="shared" si="9"/>
        <v>16427.028739961999</v>
      </c>
      <c r="J10" s="23">
        <f t="shared" si="10"/>
        <v>80286.195876122001</v>
      </c>
      <c r="K10" s="23">
        <f t="shared" si="11"/>
        <v>4369.4342436119996</v>
      </c>
      <c r="L10" s="24">
        <f t="shared" si="12"/>
        <v>12.589112042642123</v>
      </c>
      <c r="M10" s="24">
        <f t="shared" si="0"/>
        <v>12.727880257474279</v>
      </c>
      <c r="N10" s="24">
        <f t="shared" si="0"/>
        <v>11.409934047818252</v>
      </c>
      <c r="O10" s="25">
        <f>+'[1]CONSUMO ENERGETICO'!J72</f>
        <v>47</v>
      </c>
      <c r="P10" s="25">
        <f>+'[1]CONSUMO ENERGETICO'!S72</f>
        <v>128</v>
      </c>
      <c r="Q10" s="25">
        <f>+'[1]CONSUMO ENERGETICO'!AA72</f>
        <v>10</v>
      </c>
      <c r="R10" s="26">
        <f t="shared" si="1"/>
        <v>27.762978723404252</v>
      </c>
      <c r="S10" s="26">
        <f t="shared" si="1"/>
        <v>49.280468749999997</v>
      </c>
      <c r="T10" s="26">
        <f t="shared" si="1"/>
        <v>38.295000000000002</v>
      </c>
      <c r="U10" s="27">
        <v>36</v>
      </c>
      <c r="V10" s="25">
        <v>72</v>
      </c>
      <c r="W10" s="25">
        <v>70</v>
      </c>
      <c r="X10" s="27">
        <f t="shared" si="2"/>
        <v>178</v>
      </c>
      <c r="Y10" s="28">
        <f t="shared" si="3"/>
        <v>12.291755574557016</v>
      </c>
      <c r="Z10" s="28">
        <f t="shared" si="4"/>
        <v>12.212146898099279</v>
      </c>
      <c r="AA10" s="28">
        <f t="shared" si="5"/>
        <v>10.779004547818252</v>
      </c>
      <c r="AB10" s="25"/>
      <c r="AC10" s="29">
        <f t="shared" si="13"/>
        <v>12.181521322587315</v>
      </c>
      <c r="AD10" s="29">
        <f t="shared" si="6"/>
        <v>28.010787073640099</v>
      </c>
      <c r="AE10" s="25"/>
      <c r="AF10" s="30">
        <f t="shared" si="7"/>
        <v>11.664652223002687</v>
      </c>
      <c r="AG10" s="30">
        <f t="shared" si="8"/>
        <v>29.251965123068668</v>
      </c>
    </row>
    <row r="11" spans="1:41" s="38" customFormat="1" x14ac:dyDescent="0.2">
      <c r="A11" s="19">
        <f>'[1]CONSUMO ENERGETICO'!A73</f>
        <v>44075</v>
      </c>
      <c r="B11" s="20">
        <f>'[1]CONSUMO ENERGETICO'!F73</f>
        <v>2740.61</v>
      </c>
      <c r="C11" s="20">
        <f>'[1]CONSUMO ENERGETICO'!O73</f>
        <v>4078.09</v>
      </c>
      <c r="D11" s="20">
        <f>'[1]CONSUMO ENERGETICO'!W73</f>
        <v>42.44</v>
      </c>
      <c r="E11" s="21">
        <f>'[1]CONSUMO ENERGETICO'!B73</f>
        <v>1425.12</v>
      </c>
      <c r="F11" s="21">
        <f>'[1]CONSUMO ENERGETICO'!L73</f>
        <v>1957.48</v>
      </c>
      <c r="G11" s="21">
        <f>'[1]CONSUMO ENERGETICO'!T73</f>
        <v>20.37</v>
      </c>
      <c r="H11" s="34">
        <f>'[1]CONSUMO ENERGETICO'!K73</f>
        <v>6137.51</v>
      </c>
      <c r="I11" s="23">
        <f t="shared" si="9"/>
        <v>34724.352357264004</v>
      </c>
      <c r="J11" s="23">
        <f t="shared" si="10"/>
        <v>47695.79070695601</v>
      </c>
      <c r="K11" s="23">
        <f t="shared" si="11"/>
        <v>496.33368243900003</v>
      </c>
      <c r="L11" s="24">
        <f t="shared" si="12"/>
        <v>12.670300537932796</v>
      </c>
      <c r="M11" s="24">
        <f t="shared" si="0"/>
        <v>11.695619936528132</v>
      </c>
      <c r="N11" s="24">
        <f t="shared" si="0"/>
        <v>11.694950104594723</v>
      </c>
      <c r="O11" s="25">
        <f>+'[1]CONSUMO ENERGETICO'!J73</f>
        <v>112</v>
      </c>
      <c r="P11" s="25">
        <f>+'[1]CONSUMO ENERGETICO'!S73</f>
        <v>65</v>
      </c>
      <c r="Q11" s="25">
        <f>+'[1]CONSUMO ENERGETICO'!AA73</f>
        <v>3</v>
      </c>
      <c r="R11" s="26">
        <f t="shared" si="1"/>
        <v>24.469732142857143</v>
      </c>
      <c r="S11" s="26">
        <f t="shared" si="1"/>
        <v>62.739846153846159</v>
      </c>
      <c r="T11" s="26">
        <f t="shared" si="1"/>
        <v>14.146666666666667</v>
      </c>
      <c r="U11" s="27">
        <v>36</v>
      </c>
      <c r="V11" s="25">
        <v>72</v>
      </c>
      <c r="W11" s="25">
        <v>70</v>
      </c>
      <c r="X11" s="27">
        <f t="shared" si="2"/>
        <v>178</v>
      </c>
      <c r="Y11" s="28">
        <f t="shared" si="3"/>
        <v>12.254057868289939</v>
      </c>
      <c r="Z11" s="28">
        <f t="shared" si="4"/>
        <v>11.48541444422044</v>
      </c>
      <c r="AA11" s="28">
        <f t="shared" si="5"/>
        <v>10.583468771261389</v>
      </c>
      <c r="AB11" s="25"/>
      <c r="AC11" s="29">
        <f t="shared" si="13"/>
        <v>11.892482933242903</v>
      </c>
      <c r="AD11" s="29">
        <f t="shared" si="6"/>
        <v>28.69156944898436</v>
      </c>
      <c r="AE11" s="25"/>
      <c r="AF11" s="30">
        <f t="shared" si="7"/>
        <v>11.286172681070823</v>
      </c>
      <c r="AG11" s="30">
        <f t="shared" si="8"/>
        <v>30.232923918688957</v>
      </c>
    </row>
    <row r="12" spans="1:41" x14ac:dyDescent="0.2">
      <c r="A12" s="19">
        <f>'[1]CONSUMO ENERGETICO'!A74</f>
        <v>44105</v>
      </c>
      <c r="B12" s="20">
        <f>'[1]CONSUMO ENERGETICO'!F74</f>
        <v>12803.18</v>
      </c>
      <c r="C12" s="20">
        <f>'[1]CONSUMO ENERGETICO'!O74</f>
        <v>26614.78</v>
      </c>
      <c r="D12" s="20">
        <f>'[1]CONSUMO ENERGETICO'!W74</f>
        <v>23166.25</v>
      </c>
      <c r="E12" s="21">
        <f>'[1]CONSUMO ENERGETICO'!B74</f>
        <v>6725.73</v>
      </c>
      <c r="F12" s="21">
        <f>'[1]CONSUMO ENERGETICO'!L74</f>
        <v>13069.43</v>
      </c>
      <c r="G12" s="21">
        <f>'[1]CONSUMO ENERGETICO'!T74</f>
        <v>10843.42</v>
      </c>
      <c r="H12" s="34">
        <f>'[1]CONSUMO ENERGETICO'!K74</f>
        <v>6080.76</v>
      </c>
      <c r="I12" s="23">
        <f t="shared" si="9"/>
        <v>162363.27332055601</v>
      </c>
      <c r="J12" s="23">
        <f t="shared" si="10"/>
        <v>315504.10665219603</v>
      </c>
      <c r="K12" s="23">
        <f t="shared" si="11"/>
        <v>261766.851358824</v>
      </c>
      <c r="L12" s="24">
        <f t="shared" si="12"/>
        <v>12.681480172937974</v>
      </c>
      <c r="M12" s="24">
        <f t="shared" si="0"/>
        <v>11.854469834137124</v>
      </c>
      <c r="N12" s="24">
        <f t="shared" si="0"/>
        <v>11.299491776132262</v>
      </c>
      <c r="O12" s="25">
        <f>+'[1]CONSUMO ENERGETICO'!J74</f>
        <v>398</v>
      </c>
      <c r="P12" s="25">
        <f>+'[1]CONSUMO ENERGETICO'!S74</f>
        <v>442</v>
      </c>
      <c r="Q12" s="25">
        <f>+'[1]CONSUMO ENERGETICO'!AA74</f>
        <v>358</v>
      </c>
      <c r="R12" s="26">
        <f t="shared" si="1"/>
        <v>32.168793969849247</v>
      </c>
      <c r="S12" s="26">
        <f t="shared" si="1"/>
        <v>60.214434389140266</v>
      </c>
      <c r="T12" s="26">
        <f t="shared" si="1"/>
        <v>64.710195530726253</v>
      </c>
      <c r="U12" s="27">
        <v>36</v>
      </c>
      <c r="V12" s="25">
        <v>72</v>
      </c>
      <c r="W12" s="25">
        <v>70</v>
      </c>
      <c r="X12" s="27">
        <f t="shared" si="2"/>
        <v>178</v>
      </c>
      <c r="Y12" s="28">
        <f t="shared" si="3"/>
        <v>12.543173635249532</v>
      </c>
      <c r="Z12" s="28">
        <f t="shared" si="4"/>
        <v>11.586937494770607</v>
      </c>
      <c r="AA12" s="28">
        <f t="shared" si="5"/>
        <v>11.194224667193714</v>
      </c>
      <c r="AB12" s="25"/>
      <c r="AC12" s="29">
        <f t="shared" si="13"/>
        <v>11.803480554005048</v>
      </c>
      <c r="AD12" s="29">
        <f t="shared" si="6"/>
        <v>28.90791393596378</v>
      </c>
      <c r="AE12" s="25"/>
      <c r="AF12" s="30">
        <f t="shared" si="7"/>
        <v>11.625895939303522</v>
      </c>
      <c r="AG12" s="30">
        <f t="shared" si="8"/>
        <v>29.349479969665136</v>
      </c>
      <c r="AH12" s="38"/>
      <c r="AI12" s="38"/>
    </row>
    <row r="13" spans="1:41" x14ac:dyDescent="0.2">
      <c r="A13" s="19">
        <f>'[1]CONSUMO ENERGETICO'!A75</f>
        <v>44136</v>
      </c>
      <c r="B13" s="20"/>
      <c r="C13" s="20"/>
      <c r="D13" s="20"/>
      <c r="E13" s="21"/>
      <c r="F13" s="21"/>
      <c r="G13" s="21"/>
      <c r="H13" s="22"/>
      <c r="I13" s="23"/>
      <c r="J13" s="23"/>
      <c r="K13" s="23"/>
      <c r="L13" s="24"/>
      <c r="M13" s="24"/>
      <c r="N13" s="24"/>
      <c r="O13" s="25"/>
      <c r="P13" s="25"/>
      <c r="Q13" s="25"/>
      <c r="R13" s="26"/>
      <c r="S13" s="26"/>
      <c r="T13" s="26"/>
      <c r="U13" s="27"/>
      <c r="V13" s="25"/>
      <c r="W13" s="25"/>
      <c r="X13" s="27"/>
      <c r="Y13" s="28"/>
      <c r="Z13" s="28"/>
      <c r="AA13" s="28"/>
      <c r="AB13" s="25"/>
      <c r="AC13" s="29"/>
      <c r="AD13" s="29"/>
      <c r="AE13" s="25"/>
      <c r="AF13" s="30"/>
      <c r="AG13" s="30"/>
      <c r="AH13" s="38"/>
      <c r="AI13" s="38"/>
    </row>
    <row r="14" spans="1:41" s="38" customFormat="1" x14ac:dyDescent="0.2">
      <c r="A14" s="19">
        <f>'[1]CONSUMO ENERGETICO'!A76</f>
        <v>44166</v>
      </c>
      <c r="B14" s="20"/>
      <c r="C14" s="20"/>
      <c r="D14" s="20"/>
      <c r="E14" s="21"/>
      <c r="F14" s="21"/>
      <c r="G14" s="21"/>
      <c r="H14" s="22"/>
      <c r="I14" s="23"/>
      <c r="J14" s="23"/>
      <c r="K14" s="23"/>
      <c r="L14" s="24"/>
      <c r="M14" s="24"/>
      <c r="N14" s="24"/>
      <c r="O14" s="25"/>
      <c r="P14" s="25"/>
      <c r="Q14" s="25"/>
      <c r="R14" s="26"/>
      <c r="S14" s="26"/>
      <c r="T14" s="26"/>
      <c r="U14" s="27"/>
      <c r="V14" s="40"/>
      <c r="W14" s="25"/>
      <c r="X14" s="27"/>
      <c r="Y14" s="28"/>
      <c r="Z14" s="28"/>
      <c r="AA14" s="28"/>
      <c r="AB14" s="25"/>
      <c r="AC14" s="29"/>
      <c r="AD14" s="29"/>
      <c r="AE14" s="25"/>
      <c r="AF14" s="30"/>
      <c r="AG14" s="30"/>
    </row>
    <row r="15" spans="1:41" ht="7.5" customHeight="1" x14ac:dyDescent="0.2">
      <c r="A15" s="41"/>
      <c r="B15" s="42"/>
      <c r="L15" s="44"/>
      <c r="M15" s="44"/>
      <c r="N15" s="44"/>
      <c r="O15" s="38"/>
      <c r="P15" s="38"/>
      <c r="Q15" s="38"/>
      <c r="R15" s="38"/>
      <c r="S15" s="38"/>
      <c r="T15" s="38"/>
      <c r="U15" s="45"/>
      <c r="V15" s="45"/>
      <c r="W15" s="45"/>
      <c r="X15" s="38"/>
      <c r="Y15" s="46"/>
      <c r="Z15" s="46"/>
      <c r="AA15" s="46"/>
      <c r="AB15" s="47"/>
      <c r="AC15" s="31"/>
      <c r="AD15" s="31"/>
      <c r="AE15" s="47"/>
      <c r="AF15" s="47"/>
      <c r="AG15" s="47"/>
      <c r="AH15" s="38"/>
      <c r="AI15" s="38"/>
    </row>
    <row r="16" spans="1:41" ht="3.75" customHeight="1" thickBot="1" x14ac:dyDescent="0.25">
      <c r="A16" s="48"/>
      <c r="B16" s="42"/>
      <c r="L16" s="44"/>
      <c r="M16" s="44"/>
      <c r="N16" s="44"/>
      <c r="O16" s="38"/>
      <c r="P16" s="38"/>
      <c r="Q16" s="38"/>
      <c r="R16" s="38"/>
      <c r="S16" s="38"/>
      <c r="T16" s="38"/>
      <c r="U16" s="45"/>
      <c r="V16" s="45"/>
      <c r="W16" s="45"/>
      <c r="X16" s="38"/>
      <c r="Y16" s="46"/>
      <c r="Z16" s="46"/>
      <c r="AA16" s="46"/>
      <c r="AB16" s="47"/>
      <c r="AC16" s="31"/>
      <c r="AD16" s="31"/>
      <c r="AE16" s="47"/>
      <c r="AF16" s="47"/>
      <c r="AG16" s="47"/>
      <c r="AH16" s="38"/>
      <c r="AI16" s="38"/>
    </row>
    <row r="17" spans="1:40" s="50" customFormat="1" ht="15" customHeight="1" thickBot="1" x14ac:dyDescent="0.25">
      <c r="A17" s="116" t="s">
        <v>21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8"/>
      <c r="AH17" s="49"/>
      <c r="AI17" s="49"/>
      <c r="AJ17" s="49"/>
      <c r="AK17" s="49"/>
      <c r="AL17" s="49"/>
      <c r="AM17" s="49"/>
      <c r="AN17" s="49"/>
    </row>
    <row r="18" spans="1:40" x14ac:dyDescent="0.2">
      <c r="A18" s="51">
        <v>43831</v>
      </c>
      <c r="B18" s="52">
        <f>+SUM(B$3)</f>
        <v>21297.09</v>
      </c>
      <c r="C18" s="52">
        <f t="shared" ref="C18:K18" si="15">+SUM(C$3)</f>
        <v>50990.96</v>
      </c>
      <c r="D18" s="52">
        <f t="shared" si="15"/>
        <v>39823.81</v>
      </c>
      <c r="E18" s="53">
        <f t="shared" si="15"/>
        <v>11870.23</v>
      </c>
      <c r="F18" s="53">
        <f t="shared" si="15"/>
        <v>24809.78</v>
      </c>
      <c r="G18" s="53">
        <f t="shared" si="15"/>
        <v>19621.990000000002</v>
      </c>
      <c r="H18" s="54">
        <f t="shared" ref="H18:H27" si="16">+H3</f>
        <v>6057.2015459332861</v>
      </c>
      <c r="I18" s="55">
        <f t="shared" si="15"/>
        <v>285444.4907611371</v>
      </c>
      <c r="J18" s="55">
        <f t="shared" si="15"/>
        <v>596603.015947951</v>
      </c>
      <c r="K18" s="55">
        <f t="shared" si="15"/>
        <v>471851.76220428135</v>
      </c>
      <c r="L18" s="56">
        <f>+I18/B18</f>
        <v>13.402980912469125</v>
      </c>
      <c r="M18" s="56">
        <f t="shared" ref="M18:N27" si="17">+J18/C18</f>
        <v>11.70017226480833</v>
      </c>
      <c r="N18" s="56">
        <f t="shared" si="17"/>
        <v>11.848483663523941</v>
      </c>
      <c r="O18" s="57">
        <f>+SUM(O$3)</f>
        <v>651</v>
      </c>
      <c r="P18" s="57">
        <f>+SUM(P$3)</f>
        <v>744</v>
      </c>
      <c r="Q18" s="57">
        <f>+SUM(Q$3)</f>
        <v>682</v>
      </c>
      <c r="R18" s="58">
        <f>+B18/O18</f>
        <v>32.71442396313364</v>
      </c>
      <c r="S18" s="58">
        <f t="shared" ref="S18:T27" si="18">+C18/P18</f>
        <v>68.53623655913978</v>
      </c>
      <c r="T18" s="58">
        <f t="shared" si="18"/>
        <v>58.392683284457476</v>
      </c>
      <c r="U18" s="59">
        <v>36</v>
      </c>
      <c r="V18" s="60">
        <v>72</v>
      </c>
      <c r="W18" s="60">
        <v>70</v>
      </c>
      <c r="X18" s="59">
        <f t="shared" ref="X18:X27" si="19">+U18+V18+W18</f>
        <v>178</v>
      </c>
      <c r="Y18" s="61">
        <f>L18-(U18-R18)*0.0361</f>
        <v>13.28437161753825</v>
      </c>
      <c r="Z18" s="61">
        <f t="shared" ref="Z18:Z27" si="20">M18-(V18-S18)*0.0227</f>
        <v>11.621544834700803</v>
      </c>
      <c r="AA18" s="61">
        <f t="shared" ref="AA18:AA27" si="21">N18-(W18-T18)*0.0199</f>
        <v>11.617498060884646</v>
      </c>
      <c r="AB18" s="47"/>
      <c r="AC18" s="62">
        <f>L18*(U18/X18)+M18*(V18/X18)+N18*(W18/X18)</f>
        <v>12.10288523798744</v>
      </c>
      <c r="AD18" s="62">
        <f t="shared" ref="AD18:AD27" si="22">3.41214/AC18*100</f>
        <v>28.19278157980284</v>
      </c>
      <c r="AE18" s="47"/>
      <c r="AF18" s="63">
        <f>+Y18*(U18/X18)+Z18*(V18/X18)+AA18*(W18/X18)</f>
        <v>11.956255452762697</v>
      </c>
      <c r="AG18" s="63">
        <f t="shared" ref="AG18:AG27" si="23">3.41214/AF18*100</f>
        <v>28.538533769881663</v>
      </c>
      <c r="AH18" s="38"/>
      <c r="AI18" s="38"/>
    </row>
    <row r="19" spans="1:40" x14ac:dyDescent="0.2">
      <c r="A19" s="64" t="s">
        <v>22</v>
      </c>
      <c r="B19" s="20">
        <f>+SUM(B$3:B4)</f>
        <v>38390.589999999997</v>
      </c>
      <c r="C19" s="20">
        <f>+SUM(C$3:C4)</f>
        <v>98986.45</v>
      </c>
      <c r="D19" s="20">
        <f>+SUM(D$3:D4)</f>
        <v>77744.89</v>
      </c>
      <c r="E19" s="65">
        <f>+SUM(E$3:E4)</f>
        <v>20884.62</v>
      </c>
      <c r="F19" s="65">
        <f>+SUM(F$3:F4)</f>
        <v>47607.81</v>
      </c>
      <c r="G19" s="65">
        <f>+SUM(G$3:G4)</f>
        <v>37233.020000000004</v>
      </c>
      <c r="H19" s="22">
        <f t="shared" si="16"/>
        <v>6096.32</v>
      </c>
      <c r="I19" s="66">
        <f>+SUM(I$3:I4)</f>
        <v>503614.27675899304</v>
      </c>
      <c r="J19" s="66">
        <f>+SUM(J$3:J4)</f>
        <v>1148369.838358863</v>
      </c>
      <c r="K19" s="66">
        <f>+SUM(K$3:K4)</f>
        <v>898080.78561039339</v>
      </c>
      <c r="L19" s="24">
        <f t="shared" ref="L19:L27" si="24">+I19/B19</f>
        <v>13.118169758761017</v>
      </c>
      <c r="M19" s="24">
        <f t="shared" si="17"/>
        <v>11.601283189354332</v>
      </c>
      <c r="N19" s="24">
        <f t="shared" si="17"/>
        <v>11.551637485246856</v>
      </c>
      <c r="O19" s="67">
        <f>+SUM(O$3:O4)</f>
        <v>1146</v>
      </c>
      <c r="P19" s="67">
        <f>+SUM(P$3:P4)</f>
        <v>1439</v>
      </c>
      <c r="Q19" s="67">
        <f>+SUM(Q$3:Q4)</f>
        <v>1327</v>
      </c>
      <c r="R19" s="26">
        <f t="shared" ref="R19:R27" si="25">+B19/O19</f>
        <v>33.499642233856889</v>
      </c>
      <c r="S19" s="26">
        <f t="shared" si="18"/>
        <v>68.788359972202912</v>
      </c>
      <c r="T19" s="26">
        <f t="shared" si="18"/>
        <v>58.586955538809342</v>
      </c>
      <c r="U19" s="27">
        <v>36</v>
      </c>
      <c r="V19" s="25">
        <v>72</v>
      </c>
      <c r="W19" s="25">
        <v>70</v>
      </c>
      <c r="X19" s="27">
        <f t="shared" si="19"/>
        <v>178</v>
      </c>
      <c r="Y19" s="28">
        <f t="shared" ref="Y19:Y27" si="26">L19-(U19-R19)*0.0361</f>
        <v>13.027906843403251</v>
      </c>
      <c r="Z19" s="28">
        <f t="shared" si="20"/>
        <v>11.528378960723337</v>
      </c>
      <c r="AA19" s="28">
        <f t="shared" si="21"/>
        <v>11.324517900469161</v>
      </c>
      <c r="AB19" s="47"/>
      <c r="AC19" s="29">
        <f t="shared" ref="AC19:AC27" si="27">L19*(U19/X19)+M19*(V19/X19)+N19*(W19/X19)</f>
        <v>11.888545645596565</v>
      </c>
      <c r="AD19" s="29">
        <f t="shared" si="22"/>
        <v>28.701071617316227</v>
      </c>
      <c r="AE19" s="47"/>
      <c r="AF19" s="30">
        <f t="shared" ref="AF19:AF27" si="28">+Y19*(U19/X19)+Z19*(V19/X19)+AA19*(W19/X19)</f>
        <v>11.751484182963139</v>
      </c>
      <c r="AG19" s="30">
        <f t="shared" si="23"/>
        <v>29.035821747067423</v>
      </c>
      <c r="AH19" s="38"/>
      <c r="AI19" s="38"/>
    </row>
    <row r="20" spans="1:40" x14ac:dyDescent="0.2">
      <c r="A20" s="64" t="s">
        <v>23</v>
      </c>
      <c r="B20" s="20">
        <f>+SUM(B$3:B5)</f>
        <v>63749.47</v>
      </c>
      <c r="C20" s="20">
        <f>+SUM(C$3:C5)</f>
        <v>143748.71</v>
      </c>
      <c r="D20" s="20">
        <f>+SUM(D$3:D5)</f>
        <v>127181.78</v>
      </c>
      <c r="E20" s="65">
        <f>+SUM(E$3:E5)</f>
        <v>34523.18</v>
      </c>
      <c r="F20" s="65">
        <f>+SUM(F$3:F5)</f>
        <v>69236.179999999993</v>
      </c>
      <c r="G20" s="65">
        <f>+SUM(G$3:G5)</f>
        <v>60760.05</v>
      </c>
      <c r="H20" s="22">
        <f t="shared" si="16"/>
        <v>5907.93</v>
      </c>
      <c r="I20" s="66">
        <f>+SUM(I$3:I5)</f>
        <v>823499.63814876904</v>
      </c>
      <c r="J20" s="66">
        <f>+SUM(J$3:J5)</f>
        <v>1655652.0553760401</v>
      </c>
      <c r="K20" s="66">
        <f>+SUM(K$3:K5)</f>
        <v>1449895.0896115564</v>
      </c>
      <c r="L20" s="24">
        <f t="shared" si="24"/>
        <v>12.917748777343075</v>
      </c>
      <c r="M20" s="24">
        <f t="shared" si="17"/>
        <v>11.517682874343986</v>
      </c>
      <c r="N20" s="24">
        <f t="shared" si="17"/>
        <v>11.400179252181848</v>
      </c>
      <c r="O20" s="67">
        <f>+SUM(O$3:O5)</f>
        <v>1888</v>
      </c>
      <c r="P20" s="67">
        <f>+SUM(P$3:P5)</f>
        <v>2101</v>
      </c>
      <c r="Q20" s="67">
        <f>+SUM(Q$3:Q5)</f>
        <v>2071</v>
      </c>
      <c r="R20" s="26">
        <f t="shared" si="25"/>
        <v>33.765609110169493</v>
      </c>
      <c r="S20" s="26">
        <f t="shared" si="18"/>
        <v>68.419186101856255</v>
      </c>
      <c r="T20" s="26">
        <f t="shared" si="18"/>
        <v>61.410806373732498</v>
      </c>
      <c r="U20" s="27">
        <v>36</v>
      </c>
      <c r="V20" s="25">
        <v>72</v>
      </c>
      <c r="W20" s="25">
        <v>70</v>
      </c>
      <c r="X20" s="27">
        <f t="shared" si="19"/>
        <v>178</v>
      </c>
      <c r="Y20" s="28">
        <f t="shared" si="26"/>
        <v>12.837087266220193</v>
      </c>
      <c r="Z20" s="28">
        <f t="shared" si="20"/>
        <v>11.436398398856124</v>
      </c>
      <c r="AA20" s="28">
        <f t="shared" si="21"/>
        <v>11.229254299019125</v>
      </c>
      <c r="AB20" s="47"/>
      <c r="AC20" s="29">
        <f t="shared" si="27"/>
        <v>11.754632980841837</v>
      </c>
      <c r="AD20" s="29">
        <f t="shared" si="22"/>
        <v>29.028043713157526</v>
      </c>
      <c r="AE20" s="47"/>
      <c r="AF20" s="30">
        <f t="shared" si="28"/>
        <v>11.638222624903969</v>
      </c>
      <c r="AG20" s="30">
        <f t="shared" si="23"/>
        <v>29.318394311332007</v>
      </c>
      <c r="AH20" s="38"/>
      <c r="AI20" s="38"/>
    </row>
    <row r="21" spans="1:40" x14ac:dyDescent="0.2">
      <c r="A21" s="64" t="s">
        <v>24</v>
      </c>
      <c r="B21" s="20">
        <f>+SUM(B$3:B6)</f>
        <v>83957.39</v>
      </c>
      <c r="C21" s="20">
        <f>+SUM(C$3:C6)</f>
        <v>185891.22999999998</v>
      </c>
      <c r="D21" s="20">
        <f>+SUM(D$3:D6)</f>
        <v>168194.46</v>
      </c>
      <c r="E21" s="65">
        <f>+SUM(E$3:E6)</f>
        <v>45447.75</v>
      </c>
      <c r="F21" s="65">
        <f>+SUM(F$3:F6)</f>
        <v>89413.319999999992</v>
      </c>
      <c r="G21" s="65">
        <f>+SUM(G$3:G6)</f>
        <v>80254.740000000005</v>
      </c>
      <c r="H21" s="22">
        <f t="shared" si="16"/>
        <v>5960.14</v>
      </c>
      <c r="I21" s="66">
        <f>+SUM(I$3:I6)</f>
        <v>1081994.1457087751</v>
      </c>
      <c r="J21" s="66">
        <f>+SUM(J$3:J6)</f>
        <v>2133078.6147984522</v>
      </c>
      <c r="K21" s="66">
        <f>+SUM(K$3:K6)</f>
        <v>1911173.6837882583</v>
      </c>
      <c r="L21" s="24">
        <f t="shared" si="24"/>
        <v>12.887419984217889</v>
      </c>
      <c r="M21" s="24">
        <f t="shared" si="17"/>
        <v>11.474874929809504</v>
      </c>
      <c r="N21" s="24">
        <f t="shared" si="17"/>
        <v>11.362881296971722</v>
      </c>
      <c r="O21" s="67">
        <f>+SUM(O$3:O6)</f>
        <v>2525</v>
      </c>
      <c r="P21" s="67">
        <f>+SUM(P$3:P6)</f>
        <v>2741</v>
      </c>
      <c r="Q21" s="67">
        <f>+SUM(Q$3:Q6)</f>
        <v>2705</v>
      </c>
      <c r="R21" s="26">
        <f t="shared" si="25"/>
        <v>33.250451485148517</v>
      </c>
      <c r="S21" s="26">
        <f t="shared" si="18"/>
        <v>67.818763225100327</v>
      </c>
      <c r="T21" s="26">
        <f t="shared" si="18"/>
        <v>62.179097966728278</v>
      </c>
      <c r="U21" s="27">
        <v>36</v>
      </c>
      <c r="V21" s="25">
        <v>72</v>
      </c>
      <c r="W21" s="25">
        <v>70</v>
      </c>
      <c r="X21" s="27">
        <f t="shared" si="19"/>
        <v>178</v>
      </c>
      <c r="Y21" s="28">
        <f t="shared" si="26"/>
        <v>12.78816128283175</v>
      </c>
      <c r="Z21" s="28">
        <f t="shared" si="20"/>
        <v>11.379960855019281</v>
      </c>
      <c r="AA21" s="28">
        <f t="shared" si="21"/>
        <v>11.207245346509614</v>
      </c>
      <c r="AB21" s="47"/>
      <c r="AC21" s="29">
        <f t="shared" si="27"/>
        <v>11.716515759360387</v>
      </c>
      <c r="AD21" s="29">
        <f t="shared" si="22"/>
        <v>29.122480352352387</v>
      </c>
      <c r="AE21" s="47"/>
      <c r="AF21" s="30">
        <f t="shared" si="28"/>
        <v>11.596843606735979</v>
      </c>
      <c r="AG21" s="30">
        <f t="shared" si="23"/>
        <v>29.423006084328605</v>
      </c>
      <c r="AH21" s="38"/>
      <c r="AI21" s="38"/>
    </row>
    <row r="22" spans="1:40" x14ac:dyDescent="0.2">
      <c r="A22" s="64" t="s">
        <v>25</v>
      </c>
      <c r="B22" s="20">
        <f>+SUM(B$3:B7)</f>
        <v>107412.98</v>
      </c>
      <c r="C22" s="20">
        <f>+SUM(C$3:C7)</f>
        <v>229969.3</v>
      </c>
      <c r="D22" s="20">
        <f>+SUM(D$3:D7)</f>
        <v>211187.28</v>
      </c>
      <c r="E22" s="65">
        <f>+SUM(E$3:E7)</f>
        <v>58460.29</v>
      </c>
      <c r="F22" s="65">
        <f>+SUM(F$3:F7)</f>
        <v>110721.62</v>
      </c>
      <c r="G22" s="65">
        <f>+SUM(G$3:G7)</f>
        <v>100995.47</v>
      </c>
      <c r="H22" s="22">
        <f t="shared" si="16"/>
        <v>5884.77</v>
      </c>
      <c r="I22" s="66">
        <f>+SUM(I$3:I7)</f>
        <v>1386000.0916215011</v>
      </c>
      <c r="J22" s="66">
        <f>+SUM(J$3:J7)</f>
        <v>2630894.5598247224</v>
      </c>
      <c r="K22" s="66">
        <f>+SUM(K$3:K7)</f>
        <v>2395729.7537461952</v>
      </c>
      <c r="L22" s="24">
        <f t="shared" si="24"/>
        <v>12.903469316478336</v>
      </c>
      <c r="M22" s="24">
        <f t="shared" si="17"/>
        <v>11.440199017106728</v>
      </c>
      <c r="N22" s="24">
        <f t="shared" si="17"/>
        <v>11.344100618873425</v>
      </c>
      <c r="O22" s="67">
        <f>+SUM(O$3:O7)</f>
        <v>3214</v>
      </c>
      <c r="P22" s="67">
        <f>+SUM(P$3:P7)</f>
        <v>3396</v>
      </c>
      <c r="Q22" s="67">
        <f>+SUM(Q$3:Q7)</f>
        <v>3361</v>
      </c>
      <c r="R22" s="26">
        <f t="shared" si="25"/>
        <v>33.42034225264468</v>
      </c>
      <c r="S22" s="26">
        <f t="shared" si="18"/>
        <v>67.717697290930502</v>
      </c>
      <c r="T22" s="26">
        <f t="shared" si="18"/>
        <v>62.834656352276106</v>
      </c>
      <c r="U22" s="27">
        <v>36</v>
      </c>
      <c r="V22" s="25">
        <v>72</v>
      </c>
      <c r="W22" s="25">
        <v>70</v>
      </c>
      <c r="X22" s="27">
        <f t="shared" si="19"/>
        <v>178</v>
      </c>
      <c r="Y22" s="28">
        <f t="shared" si="26"/>
        <v>12.81034367179881</v>
      </c>
      <c r="Z22" s="28">
        <f t="shared" si="20"/>
        <v>11.34299074561085</v>
      </c>
      <c r="AA22" s="28">
        <f t="shared" si="21"/>
        <v>11.201510280283719</v>
      </c>
      <c r="AB22" s="47"/>
      <c r="AC22" s="29">
        <f t="shared" si="27"/>
        <v>11.698349819921596</v>
      </c>
      <c r="AD22" s="29">
        <f t="shared" si="22"/>
        <v>29.167703586614653</v>
      </c>
      <c r="AE22" s="47"/>
      <c r="AF22" s="30">
        <f t="shared" si="28"/>
        <v>11.584120367913476</v>
      </c>
      <c r="AG22" s="30">
        <f t="shared" si="23"/>
        <v>29.455322386421233</v>
      </c>
      <c r="AH22" s="38"/>
      <c r="AI22" s="38"/>
    </row>
    <row r="23" spans="1:40" x14ac:dyDescent="0.2">
      <c r="A23" s="64" t="s">
        <v>26</v>
      </c>
      <c r="B23" s="20">
        <f>+SUM(B$3:B8)</f>
        <v>107815.17</v>
      </c>
      <c r="C23" s="20">
        <f>+SUM(C$3:C8)</f>
        <v>272386.27</v>
      </c>
      <c r="D23" s="20">
        <f>+SUM(D$3:D8)</f>
        <v>255424.4</v>
      </c>
      <c r="E23" s="65">
        <f>+SUM(E$3:E8)</f>
        <v>58673.450000000004</v>
      </c>
      <c r="F23" s="65">
        <f>+SUM(F$3:F8)</f>
        <v>131696.1</v>
      </c>
      <c r="G23" s="65">
        <f>+SUM(G$3:G8)</f>
        <v>122259.41</v>
      </c>
      <c r="H23" s="22">
        <f t="shared" si="16"/>
        <v>5974.02</v>
      </c>
      <c r="I23" s="66">
        <f>+SUM(I$3:I8)</f>
        <v>1391055.5773712052</v>
      </c>
      <c r="J23" s="66">
        <f>+SUM(J$3:J8)</f>
        <v>3128343.3529728344</v>
      </c>
      <c r="K23" s="66">
        <f>+SUM(K$3:K8)</f>
        <v>2900043.6290162313</v>
      </c>
      <c r="L23" s="24">
        <f t="shared" si="24"/>
        <v>12.902224959355953</v>
      </c>
      <c r="M23" s="24">
        <f t="shared" si="17"/>
        <v>11.484952427935646</v>
      </c>
      <c r="N23" s="24">
        <f t="shared" si="17"/>
        <v>11.353823789020279</v>
      </c>
      <c r="O23" s="67">
        <f>+SUM(O$3:O8)</f>
        <v>3230</v>
      </c>
      <c r="P23" s="67">
        <f>+SUM(P$3:P8)</f>
        <v>4044</v>
      </c>
      <c r="Q23" s="67">
        <f>+SUM(Q$3:Q8)</f>
        <v>4027</v>
      </c>
      <c r="R23" s="26">
        <f t="shared" si="25"/>
        <v>33.379309597523218</v>
      </c>
      <c r="S23" s="26">
        <f t="shared" si="18"/>
        <v>67.355655291790313</v>
      </c>
      <c r="T23" s="26">
        <f t="shared" si="18"/>
        <v>63.427961261484974</v>
      </c>
      <c r="U23" s="27">
        <v>36</v>
      </c>
      <c r="V23" s="25">
        <v>72</v>
      </c>
      <c r="W23" s="25">
        <v>70</v>
      </c>
      <c r="X23" s="27">
        <f t="shared" si="19"/>
        <v>178</v>
      </c>
      <c r="Y23" s="28">
        <f t="shared" si="26"/>
        <v>12.807618035826541</v>
      </c>
      <c r="Z23" s="28">
        <f t="shared" si="20"/>
        <v>11.379525803059286</v>
      </c>
      <c r="AA23" s="28">
        <f t="shared" si="21"/>
        <v>11.223040218123829</v>
      </c>
      <c r="AB23" s="47"/>
      <c r="AC23" s="29">
        <f t="shared" si="27"/>
        <v>11.720024374042698</v>
      </c>
      <c r="AD23" s="29">
        <f t="shared" si="22"/>
        <v>29.113761977809084</v>
      </c>
      <c r="AE23" s="47"/>
      <c r="AF23" s="30">
        <f t="shared" si="28"/>
        <v>11.60681417066681</v>
      </c>
      <c r="AG23" s="30">
        <f t="shared" si="23"/>
        <v>29.397730934844223</v>
      </c>
      <c r="AH23" s="38"/>
      <c r="AI23" s="38"/>
    </row>
    <row r="24" spans="1:40" x14ac:dyDescent="0.2">
      <c r="A24" s="64" t="s">
        <v>27</v>
      </c>
      <c r="B24" s="20">
        <f>+SUM(B$3:B9)</f>
        <v>111139.53</v>
      </c>
      <c r="C24" s="20">
        <f>+SUM(C$3:C9)</f>
        <v>277221.66000000003</v>
      </c>
      <c r="D24" s="20">
        <f>+SUM(D$3:D9)</f>
        <v>260903.59</v>
      </c>
      <c r="E24" s="65">
        <f>+SUM(E$3:E9)</f>
        <v>60667.780000000006</v>
      </c>
      <c r="F24" s="65">
        <f>+SUM(F$3:F9)</f>
        <v>134144.33000000002</v>
      </c>
      <c r="G24" s="65">
        <f>+SUM(G$3:G9)</f>
        <v>124990.1</v>
      </c>
      <c r="H24" s="22">
        <f t="shared" si="16"/>
        <v>6246.74</v>
      </c>
      <c r="I24" s="66">
        <f>+SUM(I$3:I9)</f>
        <v>1440514.0794784792</v>
      </c>
      <c r="J24" s="66">
        <f>+SUM(J$3:J9)</f>
        <v>3189058.3743655286</v>
      </c>
      <c r="K24" s="66">
        <f>+SUM(K$3:K9)</f>
        <v>2967763.5335051133</v>
      </c>
      <c r="L24" s="24">
        <f t="shared" si="24"/>
        <v>12.961311600638219</v>
      </c>
      <c r="M24" s="24">
        <f t="shared" si="17"/>
        <v>11.503640712509723</v>
      </c>
      <c r="N24" s="24">
        <f t="shared" si="17"/>
        <v>11.374943263544642</v>
      </c>
      <c r="O24" s="67">
        <f>+SUM(O$3:O9)</f>
        <v>3350</v>
      </c>
      <c r="P24" s="67">
        <f>+SUM(P$3:P9)</f>
        <v>4140</v>
      </c>
      <c r="Q24" s="67">
        <f>+SUM(Q$3:Q9)</f>
        <v>4123</v>
      </c>
      <c r="R24" s="26">
        <f t="shared" si="25"/>
        <v>33.175979104477612</v>
      </c>
      <c r="S24" s="26">
        <f t="shared" si="18"/>
        <v>66.961753623188415</v>
      </c>
      <c r="T24" s="26">
        <f t="shared" si="18"/>
        <v>63.280036381275771</v>
      </c>
      <c r="U24" s="27">
        <v>36</v>
      </c>
      <c r="V24" s="25">
        <v>72</v>
      </c>
      <c r="W24" s="25">
        <v>70</v>
      </c>
      <c r="X24" s="27">
        <f t="shared" si="19"/>
        <v>178</v>
      </c>
      <c r="Y24" s="28">
        <f t="shared" si="26"/>
        <v>12.85936444630986</v>
      </c>
      <c r="Z24" s="28">
        <f t="shared" si="20"/>
        <v>11.3892725197561</v>
      </c>
      <c r="AA24" s="28">
        <f t="shared" si="21"/>
        <v>11.24121598753203</v>
      </c>
      <c r="AB24" s="47"/>
      <c r="AC24" s="29">
        <f t="shared" si="27"/>
        <v>11.747839198717983</v>
      </c>
      <c r="AD24" s="29">
        <f t="shared" si="22"/>
        <v>29.044830647429691</v>
      </c>
      <c r="AE24" s="47"/>
      <c r="AF24" s="30">
        <f t="shared" si="28"/>
        <v>11.628370003465371</v>
      </c>
      <c r="AG24" s="30">
        <f t="shared" si="23"/>
        <v>29.343235543615727</v>
      </c>
      <c r="AH24" s="38"/>
      <c r="AI24" s="38"/>
    </row>
    <row r="25" spans="1:40" x14ac:dyDescent="0.2">
      <c r="A25" s="64" t="s">
        <v>28</v>
      </c>
      <c r="B25" s="20">
        <f>+SUM(B$3:B10)</f>
        <v>112444.39</v>
      </c>
      <c r="C25" s="20">
        <f>+SUM(C$3:C10)</f>
        <v>283529.56000000006</v>
      </c>
      <c r="D25" s="20">
        <f>+SUM(D$3:D10)</f>
        <v>261286.54</v>
      </c>
      <c r="E25" s="65">
        <f>+SUM(E$3:E10)</f>
        <v>61371.790000000008</v>
      </c>
      <c r="F25" s="65">
        <f>+SUM(F$3:F10)</f>
        <v>137585.14000000001</v>
      </c>
      <c r="G25" s="65">
        <f>+SUM(G$3:G10)</f>
        <v>125177.36</v>
      </c>
      <c r="H25" s="22">
        <f t="shared" si="16"/>
        <v>5877.46</v>
      </c>
      <c r="I25" s="66">
        <f>+SUM(I$3:I10)</f>
        <v>1456941.1082184413</v>
      </c>
      <c r="J25" s="66">
        <f>+SUM(J$3:J10)</f>
        <v>3269344.5702416506</v>
      </c>
      <c r="K25" s="66">
        <f>+SUM(K$3:K10)</f>
        <v>2972132.9677487253</v>
      </c>
      <c r="L25" s="24">
        <f t="shared" si="24"/>
        <v>12.956992413925152</v>
      </c>
      <c r="M25" s="24">
        <f t="shared" si="17"/>
        <v>11.530877310435109</v>
      </c>
      <c r="N25" s="24">
        <f t="shared" si="17"/>
        <v>11.374994547169269</v>
      </c>
      <c r="O25" s="67">
        <f>+SUM(O$3:O10)</f>
        <v>3397</v>
      </c>
      <c r="P25" s="67">
        <f>+SUM(P$3:P10)</f>
        <v>4268</v>
      </c>
      <c r="Q25" s="67">
        <f>+SUM(Q$3:Q10)</f>
        <v>4133</v>
      </c>
      <c r="R25" s="26">
        <f t="shared" si="25"/>
        <v>33.101086252575804</v>
      </c>
      <c r="S25" s="26">
        <f t="shared" si="18"/>
        <v>66.431480787254003</v>
      </c>
      <c r="T25" s="26">
        <f t="shared" si="18"/>
        <v>63.219583837406248</v>
      </c>
      <c r="U25" s="27">
        <v>36</v>
      </c>
      <c r="V25" s="25">
        <v>72</v>
      </c>
      <c r="W25" s="25">
        <v>70</v>
      </c>
      <c r="X25" s="27">
        <f t="shared" si="19"/>
        <v>178</v>
      </c>
      <c r="Y25" s="28">
        <f t="shared" si="26"/>
        <v>12.852341627643138</v>
      </c>
      <c r="Z25" s="28">
        <f t="shared" si="20"/>
        <v>11.404471924305774</v>
      </c>
      <c r="AA25" s="28">
        <f t="shared" si="21"/>
        <v>11.240064265533654</v>
      </c>
      <c r="AB25" s="47"/>
      <c r="AC25" s="29">
        <f t="shared" si="27"/>
        <v>11.758002873901585</v>
      </c>
      <c r="AD25" s="29">
        <f t="shared" si="22"/>
        <v>29.019724153782001</v>
      </c>
      <c r="AE25" s="47"/>
      <c r="AF25" s="30">
        <f t="shared" si="28"/>
        <v>11.632644807486093</v>
      </c>
      <c r="AG25" s="30">
        <f t="shared" si="23"/>
        <v>29.332452391257963</v>
      </c>
      <c r="AH25" s="38"/>
      <c r="AI25" s="38"/>
    </row>
    <row r="26" spans="1:40" x14ac:dyDescent="0.2">
      <c r="A26" s="64" t="s">
        <v>29</v>
      </c>
      <c r="B26" s="20">
        <f>+SUM(B$3:B11)</f>
        <v>115185</v>
      </c>
      <c r="C26" s="20">
        <f>+SUM(C$3:C11)</f>
        <v>287607.65000000008</v>
      </c>
      <c r="D26" s="20">
        <f>+SUM(D$3:D11)</f>
        <v>261328.98</v>
      </c>
      <c r="E26" s="65">
        <f>+SUM(E$3:E11)</f>
        <v>62796.910000000011</v>
      </c>
      <c r="F26" s="65">
        <f>+SUM(F$3:F11)</f>
        <v>139542.62000000002</v>
      </c>
      <c r="G26" s="65">
        <f>+SUM(G$3:G11)</f>
        <v>125197.73</v>
      </c>
      <c r="H26" s="22">
        <f t="shared" si="16"/>
        <v>6137.51</v>
      </c>
      <c r="I26" s="66">
        <f>+SUM(I$3:I11)</f>
        <v>1491665.4605757052</v>
      </c>
      <c r="J26" s="66">
        <f>+SUM(J$3:J11)</f>
        <v>3317040.3609486064</v>
      </c>
      <c r="K26" s="66">
        <f>+SUM(K$3:K11)</f>
        <v>2972629.3014311641</v>
      </c>
      <c r="L26" s="24">
        <f>+I26/B26</f>
        <v>12.950171121028825</v>
      </c>
      <c r="M26" s="24">
        <f t="shared" si="17"/>
        <v>11.533213254058456</v>
      </c>
      <c r="N26" s="24">
        <f t="shared" si="17"/>
        <v>11.375046508164399</v>
      </c>
      <c r="O26" s="67">
        <f>+SUM(O$3:O11)</f>
        <v>3509</v>
      </c>
      <c r="P26" s="67">
        <f>+SUM(P$3:P11)</f>
        <v>4333</v>
      </c>
      <c r="Q26" s="67">
        <f>+SUM(Q$3:Q11)</f>
        <v>4136</v>
      </c>
      <c r="R26" s="26">
        <f t="shared" si="25"/>
        <v>32.825591336563122</v>
      </c>
      <c r="S26" s="26">
        <f t="shared" si="18"/>
        <v>66.376102007846782</v>
      </c>
      <c r="T26" s="26">
        <f t="shared" si="18"/>
        <v>63.183989361702132</v>
      </c>
      <c r="U26" s="27">
        <v>36</v>
      </c>
      <c r="V26" s="25">
        <v>72</v>
      </c>
      <c r="W26" s="25">
        <v>70</v>
      </c>
      <c r="X26" s="27">
        <f t="shared" si="19"/>
        <v>178</v>
      </c>
      <c r="Y26" s="28">
        <f t="shared" si="26"/>
        <v>12.835574968278754</v>
      </c>
      <c r="Z26" s="28">
        <f t="shared" si="20"/>
        <v>11.405550769636578</v>
      </c>
      <c r="AA26" s="28">
        <f t="shared" si="21"/>
        <v>11.239407896462271</v>
      </c>
      <c r="AB26" s="47"/>
      <c r="AC26" s="29">
        <f t="shared" si="27"/>
        <v>11.757588596745812</v>
      </c>
      <c r="AD26" s="29">
        <f t="shared" si="22"/>
        <v>29.020746660113534</v>
      </c>
      <c r="AE26" s="47"/>
      <c r="AF26" s="30">
        <f t="shared" si="28"/>
        <v>11.629432061933864</v>
      </c>
      <c r="AG26" s="30">
        <f t="shared" si="23"/>
        <v>29.340555771152538</v>
      </c>
      <c r="AH26" s="38"/>
      <c r="AI26" s="38"/>
    </row>
    <row r="27" spans="1:40" x14ac:dyDescent="0.2">
      <c r="A27" s="64" t="s">
        <v>30</v>
      </c>
      <c r="B27" s="20">
        <f>+SUM(B$3:B12)</f>
        <v>127988.18</v>
      </c>
      <c r="C27" s="20">
        <f>+SUM(C$3:C12)</f>
        <v>314222.43000000005</v>
      </c>
      <c r="D27" s="20">
        <f>+SUM(D$3:D12)</f>
        <v>284495.23</v>
      </c>
      <c r="E27" s="65">
        <f>+SUM(E$3:E12)</f>
        <v>69522.640000000014</v>
      </c>
      <c r="F27" s="65">
        <f>+SUM(F$3:F12)</f>
        <v>152612.05000000002</v>
      </c>
      <c r="G27" s="65">
        <f>+SUM(G$3:G12)</f>
        <v>136041.15</v>
      </c>
      <c r="H27" s="22">
        <f t="shared" si="16"/>
        <v>6080.76</v>
      </c>
      <c r="I27" s="66">
        <f>+SUM(I$3:I12)</f>
        <v>1654028.7338962611</v>
      </c>
      <c r="J27" s="66">
        <f>+SUM(J$3:J12)</f>
        <v>3632544.4676008024</v>
      </c>
      <c r="K27" s="66">
        <f>+SUM(K$3:K12)</f>
        <v>3234396.1527899881</v>
      </c>
      <c r="L27" s="24">
        <f t="shared" si="24"/>
        <v>12.923292868890401</v>
      </c>
      <c r="M27" s="24">
        <f t="shared" si="17"/>
        <v>11.560423829708153</v>
      </c>
      <c r="N27" s="24">
        <f t="shared" si="17"/>
        <v>11.368894138541403</v>
      </c>
      <c r="O27" s="67">
        <f>+SUM(O$3:O12)</f>
        <v>3907</v>
      </c>
      <c r="P27" s="67">
        <f>+SUM(P$3:P12)</f>
        <v>4775</v>
      </c>
      <c r="Q27" s="67">
        <f>+SUM(Q$3:Q12)</f>
        <v>4494</v>
      </c>
      <c r="R27" s="26">
        <f t="shared" si="25"/>
        <v>32.758684412592778</v>
      </c>
      <c r="S27" s="26">
        <f t="shared" si="18"/>
        <v>65.805744502617813</v>
      </c>
      <c r="T27" s="26">
        <f t="shared" si="18"/>
        <v>63.305569648420111</v>
      </c>
      <c r="U27" s="27">
        <v>36</v>
      </c>
      <c r="V27" s="25">
        <v>72</v>
      </c>
      <c r="W27" s="25">
        <v>70</v>
      </c>
      <c r="X27" s="27">
        <f t="shared" si="19"/>
        <v>178</v>
      </c>
      <c r="Y27" s="28">
        <f t="shared" si="26"/>
        <v>12.806281376185</v>
      </c>
      <c r="Z27" s="28">
        <f t="shared" si="20"/>
        <v>11.419814229917577</v>
      </c>
      <c r="AA27" s="28">
        <f t="shared" si="21"/>
        <v>11.235674974544963</v>
      </c>
      <c r="AB27" s="47"/>
      <c r="AC27" s="29">
        <f t="shared" si="27"/>
        <v>11.76073959953337</v>
      </c>
      <c r="AD27" s="29">
        <f t="shared" si="22"/>
        <v>29.012971260203596</v>
      </c>
      <c r="AE27" s="47"/>
      <c r="AF27" s="30">
        <f t="shared" si="28"/>
        <v>11.627809001768949</v>
      </c>
      <c r="AG27" s="30">
        <f t="shared" si="23"/>
        <v>29.344651253567271</v>
      </c>
      <c r="AH27" s="38"/>
      <c r="AI27" s="38"/>
    </row>
    <row r="28" spans="1:40" x14ac:dyDescent="0.2">
      <c r="A28" s="64" t="s">
        <v>31</v>
      </c>
      <c r="B28" s="20"/>
      <c r="C28" s="20"/>
      <c r="D28" s="20"/>
      <c r="E28" s="65"/>
      <c r="F28" s="65"/>
      <c r="G28" s="65"/>
      <c r="H28" s="22"/>
      <c r="I28" s="66"/>
      <c r="J28" s="66"/>
      <c r="K28" s="66"/>
      <c r="L28" s="24"/>
      <c r="M28" s="24"/>
      <c r="N28" s="24"/>
      <c r="O28" s="67"/>
      <c r="P28" s="67"/>
      <c r="Q28" s="67"/>
      <c r="R28" s="26"/>
      <c r="S28" s="26"/>
      <c r="T28" s="26"/>
      <c r="U28" s="27"/>
      <c r="V28" s="25"/>
      <c r="W28" s="25"/>
      <c r="X28" s="27"/>
      <c r="Y28" s="28"/>
      <c r="Z28" s="28"/>
      <c r="AA28" s="28"/>
      <c r="AB28" s="47"/>
      <c r="AC28" s="29"/>
      <c r="AD28" s="29"/>
      <c r="AE28" s="47"/>
      <c r="AF28" s="30"/>
      <c r="AG28" s="30"/>
      <c r="AH28" s="38"/>
      <c r="AI28" s="38"/>
    </row>
    <row r="29" spans="1:40" s="47" customFormat="1" x14ac:dyDescent="0.2">
      <c r="A29" s="64" t="s">
        <v>32</v>
      </c>
      <c r="B29" s="20"/>
      <c r="C29" s="20"/>
      <c r="D29" s="20"/>
      <c r="E29" s="65"/>
      <c r="F29" s="65"/>
      <c r="G29" s="65"/>
      <c r="H29" s="22"/>
      <c r="I29" s="66"/>
      <c r="J29" s="66"/>
      <c r="K29" s="66"/>
      <c r="L29" s="24"/>
      <c r="M29" s="24"/>
      <c r="N29" s="24"/>
      <c r="O29" s="67"/>
      <c r="P29" s="67"/>
      <c r="Q29" s="67"/>
      <c r="R29" s="26"/>
      <c r="S29" s="26"/>
      <c r="T29" s="26"/>
      <c r="U29" s="27"/>
      <c r="V29" s="25"/>
      <c r="W29" s="25"/>
      <c r="X29" s="27"/>
      <c r="Y29" s="28"/>
      <c r="Z29" s="28"/>
      <c r="AA29" s="28"/>
      <c r="AC29" s="29"/>
      <c r="AD29" s="29"/>
      <c r="AF29" s="30"/>
      <c r="AG29" s="30"/>
    </row>
    <row r="30" spans="1:40" s="47" customFormat="1" x14ac:dyDescent="0.2">
      <c r="A30" s="48"/>
      <c r="B30" s="68"/>
      <c r="E30" s="68"/>
      <c r="I30" s="69"/>
      <c r="J30" s="69"/>
      <c r="K30" s="69"/>
      <c r="L30" s="46"/>
      <c r="M30" s="46"/>
      <c r="N30" s="46"/>
      <c r="U30" s="70"/>
      <c r="V30" s="70"/>
      <c r="W30" s="70"/>
      <c r="X30" s="46"/>
      <c r="Y30" s="46"/>
      <c r="Z30" s="46"/>
      <c r="AA30" s="46"/>
    </row>
    <row r="31" spans="1:40" s="47" customFormat="1" hidden="1" x14ac:dyDescent="0.2">
      <c r="A31" s="48"/>
      <c r="D31"/>
      <c r="E31"/>
      <c r="F31" s="104">
        <v>2019</v>
      </c>
      <c r="G31" s="105"/>
      <c r="H31" s="105"/>
      <c r="I31" s="105"/>
      <c r="J31" s="106"/>
      <c r="K31" s="17"/>
      <c r="L31" s="104">
        <v>2020</v>
      </c>
      <c r="M31" s="105"/>
      <c r="N31" s="105"/>
      <c r="O31" s="105"/>
      <c r="P31" s="105"/>
      <c r="Q31" s="106"/>
      <c r="R31" s="71" t="s">
        <v>33</v>
      </c>
      <c r="S31" s="71" t="s">
        <v>33</v>
      </c>
      <c r="T31" s="71" t="s">
        <v>33</v>
      </c>
      <c r="V31" s="70"/>
      <c r="W31" s="70"/>
      <c r="X31" s="70"/>
      <c r="Y31" s="46"/>
      <c r="Z31" s="46"/>
      <c r="AA31" s="46"/>
      <c r="AB31" s="46"/>
      <c r="AE31" s="46"/>
    </row>
    <row r="32" spans="1:40" s="47" customFormat="1" ht="76.5" hidden="1" x14ac:dyDescent="0.2">
      <c r="A32" s="48"/>
      <c r="D32" s="72" t="s">
        <v>34</v>
      </c>
      <c r="E32" s="72" t="s">
        <v>35</v>
      </c>
      <c r="F32" s="73" t="s">
        <v>36</v>
      </c>
      <c r="G32" s="74" t="s">
        <v>37</v>
      </c>
      <c r="H32" s="74" t="s">
        <v>38</v>
      </c>
      <c r="I32" s="74" t="s">
        <v>39</v>
      </c>
      <c r="J32" s="74" t="s">
        <v>40</v>
      </c>
      <c r="K32" s="75"/>
      <c r="L32" s="73" t="s">
        <v>36</v>
      </c>
      <c r="M32" s="74" t="s">
        <v>41</v>
      </c>
      <c r="N32" s="74" t="s">
        <v>38</v>
      </c>
      <c r="O32" s="74" t="s">
        <v>39</v>
      </c>
      <c r="P32" s="74" t="s">
        <v>42</v>
      </c>
      <c r="Q32" s="74" t="s">
        <v>40</v>
      </c>
      <c r="R32" s="76" t="s">
        <v>43</v>
      </c>
      <c r="S32" s="76" t="s">
        <v>44</v>
      </c>
      <c r="T32" s="76" t="s">
        <v>45</v>
      </c>
      <c r="U32" s="46"/>
      <c r="V32" s="77"/>
      <c r="W32" s="77"/>
      <c r="X32" s="77"/>
    </row>
    <row r="33" spans="1:25" s="47" customFormat="1" hidden="1" x14ac:dyDescent="0.2">
      <c r="A33" s="48"/>
      <c r="D33" s="78">
        <v>11.745929991681962</v>
      </c>
      <c r="E33" s="78">
        <v>11.573937599451058</v>
      </c>
      <c r="F33" s="79">
        <v>43466</v>
      </c>
      <c r="G33" s="80">
        <v>11.75</v>
      </c>
      <c r="H33" s="80">
        <f>+N33</f>
        <v>6057.2015459332861</v>
      </c>
      <c r="I33" s="81">
        <f>+ROUND(H33*(3.97/1000),2)</f>
        <v>24.05</v>
      </c>
      <c r="J33" s="80">
        <f>+ROUND(G33*P33/I33,2)</f>
        <v>54773.99</v>
      </c>
      <c r="K33" s="80"/>
      <c r="L33" s="82">
        <v>43831</v>
      </c>
      <c r="M33" s="80">
        <f>+AC3</f>
        <v>12.10288523798744</v>
      </c>
      <c r="N33" s="80">
        <f t="shared" ref="N33:N42" si="29">+H3</f>
        <v>6057.2015459332861</v>
      </c>
      <c r="O33" s="81">
        <f>+ROUND(N33*(3.97/1000),2)</f>
        <v>24.05</v>
      </c>
      <c r="P33" s="83">
        <f t="shared" ref="P33:P42" si="30">+B3+C3+D3</f>
        <v>112111.86</v>
      </c>
      <c r="Q33" s="83">
        <f t="shared" ref="Q33:Q42" si="31">+E3+F3+G3</f>
        <v>56302</v>
      </c>
      <c r="R33" s="84">
        <f>+J33-Q33</f>
        <v>-1528.010000000002</v>
      </c>
      <c r="S33" s="85">
        <f>+R33/J33</f>
        <v>-2.7896634880898802E-2</v>
      </c>
      <c r="T33" s="86">
        <f>(SUM(R$33)/SUM(J$33))</f>
        <v>-2.7896634880898802E-2</v>
      </c>
      <c r="V33" s="77"/>
      <c r="W33" s="77"/>
      <c r="X33" s="77"/>
      <c r="Y33" s="87"/>
    </row>
    <row r="34" spans="1:25" s="47" customFormat="1" hidden="1" x14ac:dyDescent="0.2">
      <c r="A34" s="48"/>
      <c r="D34" s="78">
        <v>12.117264133716411</v>
      </c>
      <c r="E34" s="78">
        <v>11.885582243739904</v>
      </c>
      <c r="F34" s="79">
        <v>43497</v>
      </c>
      <c r="G34" s="80">
        <v>12.12</v>
      </c>
      <c r="H34" s="80">
        <f t="shared" ref="H34:H44" si="32">+N34</f>
        <v>6096.32</v>
      </c>
      <c r="I34" s="81">
        <f t="shared" ref="I34:I39" si="33">+ROUND(H34*(3.97/1000),2)</f>
        <v>24.2</v>
      </c>
      <c r="J34" s="80">
        <f t="shared" ref="J34:J42" si="34">+ROUND(G34*P34/I34,2)</f>
        <v>51590.17</v>
      </c>
      <c r="K34" s="80"/>
      <c r="L34" s="82">
        <v>43862</v>
      </c>
      <c r="M34" s="80">
        <f t="shared" ref="M34:M44" si="35">+AC4</f>
        <v>11.651686774208031</v>
      </c>
      <c r="N34" s="80">
        <f t="shared" si="29"/>
        <v>6096.32</v>
      </c>
      <c r="O34" s="81">
        <f t="shared" ref="O34:O42" si="36">+ROUND(N34*(3.97/1000),2)</f>
        <v>24.2</v>
      </c>
      <c r="P34" s="83">
        <f t="shared" si="30"/>
        <v>103010.07</v>
      </c>
      <c r="Q34" s="83">
        <f t="shared" si="31"/>
        <v>49423.45</v>
      </c>
      <c r="R34" s="84">
        <f>+J34-Q34</f>
        <v>2166.7200000000012</v>
      </c>
      <c r="S34" s="85">
        <f t="shared" ref="S34:S42" si="37">+R34/J34</f>
        <v>4.1998698589285538E-2</v>
      </c>
      <c r="T34" s="86">
        <f>(SUM(R$33:R34)/SUM(J$33:J34))</f>
        <v>6.0049362492027303E-3</v>
      </c>
      <c r="V34" s="77"/>
      <c r="W34" s="77"/>
      <c r="X34" s="77"/>
      <c r="Y34" s="87"/>
    </row>
    <row r="35" spans="1:25" s="47" customFormat="1" hidden="1" x14ac:dyDescent="0.2">
      <c r="A35" s="48"/>
      <c r="D35" s="78">
        <v>12.331778271635921</v>
      </c>
      <c r="E35" s="78">
        <v>11.749508172262697</v>
      </c>
      <c r="F35" s="79">
        <v>43525</v>
      </c>
      <c r="G35" s="80">
        <v>12.33</v>
      </c>
      <c r="H35" s="80">
        <f t="shared" si="32"/>
        <v>5907.93</v>
      </c>
      <c r="I35" s="81">
        <f t="shared" si="33"/>
        <v>23.45</v>
      </c>
      <c r="J35" s="80">
        <f t="shared" si="34"/>
        <v>62863.56</v>
      </c>
      <c r="K35" s="80"/>
      <c r="L35" s="82">
        <v>43891</v>
      </c>
      <c r="M35" s="80">
        <f t="shared" si="35"/>
        <v>11.524820170344555</v>
      </c>
      <c r="N35" s="80">
        <f t="shared" si="29"/>
        <v>5907.93</v>
      </c>
      <c r="O35" s="81">
        <f t="shared" si="36"/>
        <v>23.45</v>
      </c>
      <c r="P35" s="83">
        <f t="shared" si="30"/>
        <v>119558.03</v>
      </c>
      <c r="Q35" s="83">
        <f t="shared" si="31"/>
        <v>58793.96</v>
      </c>
      <c r="R35" s="84">
        <f t="shared" ref="R35:R42" si="38">+J35-Q35</f>
        <v>4069.5999999999985</v>
      </c>
      <c r="S35" s="85">
        <f t="shared" si="37"/>
        <v>6.4737027301667277E-2</v>
      </c>
      <c r="T35" s="86">
        <f>(SUM(R$33:R35)/SUM(J$33:J35))</f>
        <v>2.7822333126038674E-2</v>
      </c>
      <c r="V35" s="77"/>
      <c r="W35" s="77"/>
      <c r="X35" s="77"/>
    </row>
    <row r="36" spans="1:25" s="47" customFormat="1" hidden="1" x14ac:dyDescent="0.2">
      <c r="D36" s="78">
        <v>11.557879701300799</v>
      </c>
      <c r="E36" s="78">
        <v>11.136242538948213</v>
      </c>
      <c r="F36" s="79">
        <v>43556</v>
      </c>
      <c r="G36" s="80">
        <v>11.56</v>
      </c>
      <c r="H36" s="80">
        <f t="shared" si="32"/>
        <v>5960.14</v>
      </c>
      <c r="I36" s="81">
        <f t="shared" si="33"/>
        <v>23.66</v>
      </c>
      <c r="J36" s="80">
        <f t="shared" si="34"/>
        <v>50502.01</v>
      </c>
      <c r="K36" s="88"/>
      <c r="L36" s="82">
        <v>43922</v>
      </c>
      <c r="M36" s="80">
        <f t="shared" si="35"/>
        <v>11.592616417062967</v>
      </c>
      <c r="N36" s="80">
        <f t="shared" si="29"/>
        <v>5960.14</v>
      </c>
      <c r="O36" s="81">
        <f t="shared" si="36"/>
        <v>23.66</v>
      </c>
      <c r="P36" s="83">
        <f t="shared" si="30"/>
        <v>103363.12</v>
      </c>
      <c r="Q36" s="83">
        <f t="shared" si="31"/>
        <v>50596.399999999994</v>
      </c>
      <c r="R36" s="84">
        <f t="shared" si="38"/>
        <v>-94.389999999992142</v>
      </c>
      <c r="S36" s="85">
        <f t="shared" si="37"/>
        <v>-1.8690345196159942E-3</v>
      </c>
      <c r="T36" s="86">
        <f>(SUM(R$33:R36)/SUM(J$33:J36))</f>
        <v>2.0998159875771045E-2</v>
      </c>
      <c r="V36" s="77"/>
      <c r="W36" s="77"/>
      <c r="X36" s="77"/>
    </row>
    <row r="37" spans="1:25" s="47" customFormat="1" hidden="1" x14ac:dyDescent="0.2">
      <c r="D37" s="78">
        <v>11.762483892232069</v>
      </c>
      <c r="E37" s="78">
        <v>11.484409722129062</v>
      </c>
      <c r="F37" s="79">
        <v>43586</v>
      </c>
      <c r="G37" s="80">
        <v>11.76</v>
      </c>
      <c r="H37" s="80">
        <f t="shared" si="32"/>
        <v>5884.77</v>
      </c>
      <c r="I37" s="81">
        <f t="shared" si="33"/>
        <v>23.36</v>
      </c>
      <c r="J37" s="80">
        <f t="shared" si="34"/>
        <v>55641.760000000002</v>
      </c>
      <c r="K37" s="88"/>
      <c r="L37" s="82">
        <v>43952</v>
      </c>
      <c r="M37" s="80">
        <f t="shared" si="35"/>
        <v>11.621921552860663</v>
      </c>
      <c r="N37" s="80">
        <f t="shared" si="29"/>
        <v>5884.77</v>
      </c>
      <c r="O37" s="81">
        <f t="shared" si="36"/>
        <v>23.36</v>
      </c>
      <c r="P37" s="83">
        <f t="shared" si="30"/>
        <v>110526.48000000001</v>
      </c>
      <c r="Q37" s="83">
        <f t="shared" si="31"/>
        <v>55061.569999999992</v>
      </c>
      <c r="R37" s="84">
        <f t="shared" si="38"/>
        <v>580.1900000000096</v>
      </c>
      <c r="S37" s="85">
        <f t="shared" si="37"/>
        <v>1.0427240259833794E-2</v>
      </c>
      <c r="T37" s="86">
        <f>(SUM(R$33:R37)/SUM(J$33:J37))</f>
        <v>1.8862192306109887E-2</v>
      </c>
      <c r="V37" s="77"/>
      <c r="W37" s="77"/>
      <c r="X37" s="77"/>
    </row>
    <row r="38" spans="1:25" s="47" customFormat="1" hidden="1" x14ac:dyDescent="0.2">
      <c r="D38" s="78">
        <v>13.004186891271107</v>
      </c>
      <c r="E38" s="78">
        <v>12.272380486207815</v>
      </c>
      <c r="F38" s="79">
        <v>43617</v>
      </c>
      <c r="G38" s="80">
        <v>13</v>
      </c>
      <c r="H38" s="80">
        <f t="shared" si="32"/>
        <v>5974.02</v>
      </c>
      <c r="I38" s="81">
        <f t="shared" si="33"/>
        <v>23.72</v>
      </c>
      <c r="J38" s="80">
        <f t="shared" si="34"/>
        <v>47712.13</v>
      </c>
      <c r="K38" s="88"/>
      <c r="L38" s="82">
        <v>43983</v>
      </c>
      <c r="M38" s="80">
        <f t="shared" si="35"/>
        <v>11.76921093439587</v>
      </c>
      <c r="N38" s="80">
        <f t="shared" si="29"/>
        <v>5974.02</v>
      </c>
      <c r="O38" s="81">
        <f t="shared" si="36"/>
        <v>23.72</v>
      </c>
      <c r="P38" s="83">
        <f t="shared" si="30"/>
        <v>87056.28</v>
      </c>
      <c r="Q38" s="83">
        <f t="shared" si="31"/>
        <v>42451.58</v>
      </c>
      <c r="R38" s="84">
        <f t="shared" si="38"/>
        <v>5260.5499999999956</v>
      </c>
      <c r="S38" s="85">
        <f t="shared" si="37"/>
        <v>0.11025602923197929</v>
      </c>
      <c r="T38" s="86">
        <f>(SUM(R$33:R38)/SUM(J$33:J38))</f>
        <v>3.2358991149102546E-2</v>
      </c>
      <c r="V38" s="77"/>
      <c r="W38" s="77"/>
      <c r="X38" s="77"/>
    </row>
    <row r="39" spans="1:25" s="47" customFormat="1" hidden="1" x14ac:dyDescent="0.2">
      <c r="D39" s="78">
        <v>12.119708430553672</v>
      </c>
      <c r="E39" s="78">
        <v>11.510237763887005</v>
      </c>
      <c r="F39" s="79">
        <v>43647</v>
      </c>
      <c r="G39" s="80">
        <v>12.12</v>
      </c>
      <c r="H39" s="80">
        <f t="shared" si="32"/>
        <v>6246.74</v>
      </c>
      <c r="I39" s="81">
        <f t="shared" si="33"/>
        <v>24.8</v>
      </c>
      <c r="J39" s="80">
        <f t="shared" si="34"/>
        <v>6665.48</v>
      </c>
      <c r="K39" s="88"/>
      <c r="L39" s="82">
        <v>44013</v>
      </c>
      <c r="M39" s="80">
        <f t="shared" si="35"/>
        <v>12.948407644409425</v>
      </c>
      <c r="N39" s="80">
        <f t="shared" si="29"/>
        <v>6246.74</v>
      </c>
      <c r="O39" s="81">
        <f t="shared" si="36"/>
        <v>24.8</v>
      </c>
      <c r="P39" s="83">
        <f t="shared" si="30"/>
        <v>13638.939999999999</v>
      </c>
      <c r="Q39" s="83">
        <f t="shared" si="31"/>
        <v>7173.25</v>
      </c>
      <c r="R39" s="84">
        <f t="shared" si="38"/>
        <v>-507.77000000000044</v>
      </c>
      <c r="S39" s="85">
        <f t="shared" si="37"/>
        <v>-7.6179059872657398E-2</v>
      </c>
      <c r="T39" s="86">
        <f>(SUM(R$33:R39)/SUM(J$33:J39))</f>
        <v>3.0165025469364469E-2</v>
      </c>
      <c r="V39" s="77"/>
      <c r="W39" s="77"/>
      <c r="X39" s="77"/>
    </row>
    <row r="40" spans="1:25" s="47" customFormat="1" hidden="1" x14ac:dyDescent="0.2">
      <c r="D40" s="78">
        <v>12.170152280908109</v>
      </c>
      <c r="E40" s="78">
        <v>11.825390389651172</v>
      </c>
      <c r="F40" s="79">
        <v>43678</v>
      </c>
      <c r="G40" s="80">
        <v>12.17</v>
      </c>
      <c r="H40" s="80">
        <f t="shared" si="32"/>
        <v>5877.46</v>
      </c>
      <c r="I40" s="81">
        <f>+ROUND(H40*(3.97/1000),2)</f>
        <v>23.33</v>
      </c>
      <c r="J40" s="80">
        <f t="shared" si="34"/>
        <v>4170.93</v>
      </c>
      <c r="K40" s="88"/>
      <c r="L40" s="82">
        <v>44044</v>
      </c>
      <c r="M40" s="80">
        <f t="shared" si="35"/>
        <v>12.181521322587315</v>
      </c>
      <c r="N40" s="80">
        <f t="shared" si="29"/>
        <v>5877.46</v>
      </c>
      <c r="O40" s="81">
        <f t="shared" si="36"/>
        <v>23.33</v>
      </c>
      <c r="P40" s="83">
        <f t="shared" si="30"/>
        <v>7995.7099999999991</v>
      </c>
      <c r="Q40" s="83">
        <f t="shared" si="31"/>
        <v>4332.08</v>
      </c>
      <c r="R40" s="84">
        <f t="shared" si="38"/>
        <v>-161.14999999999964</v>
      </c>
      <c r="S40" s="85">
        <f t="shared" si="37"/>
        <v>-3.8636467166794843E-2</v>
      </c>
      <c r="T40" s="86">
        <f>(SUM(R$33:R40)/SUM(J$33:J40))</f>
        <v>2.9305639437083218E-2</v>
      </c>
      <c r="V40" s="77"/>
      <c r="W40" s="77"/>
      <c r="X40" s="77"/>
    </row>
    <row r="41" spans="1:25" s="47" customFormat="1" hidden="1" x14ac:dyDescent="0.2">
      <c r="D41" s="78">
        <v>11.925860932643594</v>
      </c>
      <c r="E41" s="78">
        <v>11.833337314886116</v>
      </c>
      <c r="F41" s="79">
        <v>43709</v>
      </c>
      <c r="G41" s="80">
        <v>11.93</v>
      </c>
      <c r="H41" s="80">
        <f t="shared" si="32"/>
        <v>6137.51</v>
      </c>
      <c r="I41" s="81">
        <f t="shared" ref="I41:I42" si="39">+ROUND(H41*(3.97/1000),2)</f>
        <v>24.37</v>
      </c>
      <c r="J41" s="80">
        <f t="shared" si="34"/>
        <v>3358.78</v>
      </c>
      <c r="K41" s="88"/>
      <c r="L41" s="82">
        <v>44075</v>
      </c>
      <c r="M41" s="80">
        <f t="shared" si="35"/>
        <v>11.892482933242903</v>
      </c>
      <c r="N41" s="80">
        <f t="shared" si="29"/>
        <v>6137.51</v>
      </c>
      <c r="O41" s="81">
        <f t="shared" si="36"/>
        <v>24.37</v>
      </c>
      <c r="P41" s="83">
        <f t="shared" si="30"/>
        <v>6861.14</v>
      </c>
      <c r="Q41" s="83">
        <f t="shared" si="31"/>
        <v>3402.97</v>
      </c>
      <c r="R41" s="84">
        <f t="shared" si="38"/>
        <v>-44.1899999999996</v>
      </c>
      <c r="S41" s="85">
        <f t="shared" si="37"/>
        <v>-1.3156562799587825E-2</v>
      </c>
      <c r="T41" s="86">
        <f>(SUM(R$33:R41)/SUM(J$33:J41))</f>
        <v>2.8882780984669659E-2</v>
      </c>
      <c r="V41" s="77"/>
      <c r="W41" s="77"/>
      <c r="X41" s="77"/>
    </row>
    <row r="42" spans="1:25" s="47" customFormat="1" hidden="1" x14ac:dyDescent="0.2">
      <c r="D42" s="78">
        <v>11.692154614600051</v>
      </c>
      <c r="E42" s="78">
        <v>11.5045571311878</v>
      </c>
      <c r="F42" s="79">
        <v>43739</v>
      </c>
      <c r="G42" s="80">
        <v>11.69</v>
      </c>
      <c r="H42" s="80">
        <f t="shared" si="32"/>
        <v>6080.76</v>
      </c>
      <c r="I42" s="81">
        <f t="shared" si="39"/>
        <v>24.14</v>
      </c>
      <c r="J42" s="80">
        <f t="shared" si="34"/>
        <v>30306.94</v>
      </c>
      <c r="K42" s="88"/>
      <c r="L42" s="82">
        <v>44105</v>
      </c>
      <c r="M42" s="80">
        <f t="shared" si="35"/>
        <v>11.803480554005048</v>
      </c>
      <c r="N42" s="80">
        <f t="shared" si="29"/>
        <v>6080.76</v>
      </c>
      <c r="O42" s="81">
        <f t="shared" si="36"/>
        <v>24.14</v>
      </c>
      <c r="P42" s="83">
        <f t="shared" si="30"/>
        <v>62584.21</v>
      </c>
      <c r="Q42" s="83">
        <f t="shared" si="31"/>
        <v>30638.58</v>
      </c>
      <c r="R42" s="84">
        <f t="shared" si="38"/>
        <v>-331.64000000000306</v>
      </c>
      <c r="S42" s="85">
        <f t="shared" si="37"/>
        <v>-1.0942708171791776E-2</v>
      </c>
      <c r="T42" s="86">
        <f>(SUM(R$33:R42)/SUM(J$33:J42))</f>
        <v>2.5599224126615375E-2</v>
      </c>
      <c r="V42" s="77"/>
      <c r="W42" s="77"/>
      <c r="X42" s="77"/>
    </row>
    <row r="43" spans="1:25" s="47" customFormat="1" hidden="1" x14ac:dyDescent="0.2">
      <c r="D43" s="78">
        <v>11.677286745239119</v>
      </c>
      <c r="E43" s="78">
        <v>11.579484728430813</v>
      </c>
      <c r="F43" s="79">
        <v>43770</v>
      </c>
      <c r="G43" s="80">
        <v>11.68</v>
      </c>
      <c r="H43" s="80">
        <f t="shared" si="32"/>
        <v>0</v>
      </c>
      <c r="I43" s="81"/>
      <c r="J43" s="88"/>
      <c r="K43" s="88"/>
      <c r="L43" s="82">
        <v>44136</v>
      </c>
      <c r="M43" s="80">
        <f t="shared" si="35"/>
        <v>0</v>
      </c>
      <c r="N43" s="80"/>
      <c r="O43" s="80"/>
      <c r="P43" s="83"/>
      <c r="Q43" s="89"/>
      <c r="R43" s="84"/>
      <c r="S43" s="85"/>
      <c r="T43" s="90"/>
      <c r="V43" s="77"/>
      <c r="W43" s="77"/>
      <c r="X43" s="77"/>
    </row>
    <row r="44" spans="1:25" s="47" customFormat="1" hidden="1" x14ac:dyDescent="0.2">
      <c r="D44" s="78">
        <v>11.839184603877925</v>
      </c>
      <c r="E44" s="78">
        <v>11.727696395904029</v>
      </c>
      <c r="F44" s="79">
        <v>43800</v>
      </c>
      <c r="G44" s="80">
        <v>11.84</v>
      </c>
      <c r="H44" s="80">
        <f t="shared" si="32"/>
        <v>0</v>
      </c>
      <c r="I44" s="81"/>
      <c r="J44" s="88"/>
      <c r="K44" s="88"/>
      <c r="L44" s="82">
        <v>44166</v>
      </c>
      <c r="M44" s="80">
        <f t="shared" si="35"/>
        <v>0</v>
      </c>
      <c r="N44" s="80"/>
      <c r="O44" s="80"/>
      <c r="P44" s="83"/>
      <c r="Q44" s="89"/>
      <c r="R44" s="84"/>
      <c r="S44" s="85"/>
      <c r="T44" s="90"/>
      <c r="V44" s="77"/>
      <c r="W44" s="77"/>
      <c r="X44" s="77"/>
    </row>
    <row r="45" spans="1:25" s="91" customFormat="1" hidden="1" x14ac:dyDescent="0.2">
      <c r="D45" s="92"/>
      <c r="E45" s="92"/>
      <c r="F45" s="93" t="s">
        <v>46</v>
      </c>
      <c r="G45" s="94"/>
      <c r="H45" s="94"/>
      <c r="I45" s="94"/>
      <c r="J45" s="95">
        <f>SUM(J33:J44)</f>
        <v>367585.75</v>
      </c>
      <c r="K45" s="95"/>
      <c r="L45" s="96"/>
      <c r="M45" s="94"/>
      <c r="N45" s="94"/>
      <c r="O45" s="94"/>
      <c r="P45" s="97">
        <f>SUM(P33:P44)</f>
        <v>726705.83999999985</v>
      </c>
      <c r="Q45" s="97">
        <f>SUM(Q33:Q44)</f>
        <v>358175.84</v>
      </c>
      <c r="R45" s="98">
        <f>+J45-Q45</f>
        <v>9409.9099999999744</v>
      </c>
      <c r="S45" s="99">
        <f>+R45/J45</f>
        <v>2.5599224126615285E-2</v>
      </c>
      <c r="T45" s="100"/>
      <c r="V45" s="101"/>
      <c r="W45" s="101"/>
      <c r="X45" s="101"/>
    </row>
    <row r="46" spans="1:25" s="47" customFormat="1" hidden="1" x14ac:dyDescent="0.2">
      <c r="I46" s="69"/>
      <c r="J46" s="69"/>
      <c r="K46" s="69"/>
      <c r="U46" s="77"/>
      <c r="V46" s="77"/>
      <c r="W46" s="77"/>
    </row>
    <row r="47" spans="1:25" s="47" customFormat="1" hidden="1" x14ac:dyDescent="0.2">
      <c r="I47" s="69"/>
      <c r="J47" s="69"/>
      <c r="K47" s="69"/>
      <c r="S47" s="102"/>
      <c r="U47" s="77"/>
      <c r="V47" s="77"/>
      <c r="W47" s="77"/>
    </row>
    <row r="48" spans="1:25" s="47" customFormat="1" x14ac:dyDescent="0.2">
      <c r="I48" s="69"/>
      <c r="J48" s="69"/>
      <c r="K48" s="69"/>
      <c r="U48" s="77"/>
      <c r="V48" s="77"/>
      <c r="W48" s="77"/>
    </row>
  </sheetData>
  <mergeCells count="14">
    <mergeCell ref="Y1:AA1"/>
    <mergeCell ref="AJ1:AM1"/>
    <mergeCell ref="A17:AG17"/>
    <mergeCell ref="A1:A2"/>
    <mergeCell ref="B1:D1"/>
    <mergeCell ref="E1:G1"/>
    <mergeCell ref="H1:H2"/>
    <mergeCell ref="I1:K1"/>
    <mergeCell ref="L1:N1"/>
    <mergeCell ref="F31:J31"/>
    <mergeCell ref="L31:Q31"/>
    <mergeCell ref="O1:Q1"/>
    <mergeCell ref="R1:T1"/>
    <mergeCell ref="U1:X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Alirio Sanabria Higuera</dc:creator>
  <cp:lastModifiedBy>Alirio Sanabria Higuera</cp:lastModifiedBy>
  <dcterms:created xsi:type="dcterms:W3CDTF">2020-11-09T22:49:02Z</dcterms:created>
  <dcterms:modified xsi:type="dcterms:W3CDTF">2020-11-09T23:10:17Z</dcterms:modified>
</cp:coreProperties>
</file>