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critorio\"/>
    </mc:Choice>
  </mc:AlternateContent>
  <bookViews>
    <workbookView xWindow="0" yWindow="0" windowWidth="20490" windowHeight="7050"/>
  </bookViews>
  <sheets>
    <sheet name="MENSUAL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  <c r="J75" i="1"/>
  <c r="I75" i="1"/>
  <c r="H75" i="1"/>
  <c r="G75" i="1"/>
  <c r="AE35" i="1"/>
  <c r="X35" i="1"/>
  <c r="W35" i="1"/>
  <c r="V35" i="1"/>
  <c r="U35" i="1"/>
  <c r="AE34" i="1"/>
  <c r="W34" i="1"/>
  <c r="V34" i="1"/>
  <c r="U34" i="1"/>
  <c r="AE33" i="1"/>
  <c r="X33" i="1"/>
  <c r="W33" i="1"/>
  <c r="V33" i="1"/>
  <c r="U33" i="1"/>
  <c r="X29" i="1"/>
  <c r="X28" i="1"/>
  <c r="X27" i="1"/>
  <c r="X26" i="1"/>
  <c r="X25" i="1"/>
  <c r="X24" i="1"/>
  <c r="X23" i="1"/>
  <c r="X34" i="1" s="1"/>
  <c r="X22" i="1"/>
  <c r="X21" i="1"/>
  <c r="X20" i="1"/>
  <c r="X19" i="1"/>
  <c r="X18" i="1"/>
  <c r="X14" i="1"/>
  <c r="Q14" i="1"/>
  <c r="P14" i="1"/>
  <c r="O14" i="1"/>
  <c r="H14" i="1"/>
  <c r="H29" i="1" s="1"/>
  <c r="G14" i="1"/>
  <c r="F14" i="1"/>
  <c r="E14" i="1"/>
  <c r="D14" i="1"/>
  <c r="T14" i="1" s="1"/>
  <c r="C14" i="1"/>
  <c r="S14" i="1" s="1"/>
  <c r="B14" i="1"/>
  <c r="A14" i="1"/>
  <c r="X13" i="1"/>
  <c r="Q13" i="1"/>
  <c r="P13" i="1"/>
  <c r="O13" i="1"/>
  <c r="H13" i="1"/>
  <c r="H28" i="1" s="1"/>
  <c r="G13" i="1"/>
  <c r="F13" i="1"/>
  <c r="E13" i="1"/>
  <c r="Q66" i="1" s="1"/>
  <c r="D13" i="1"/>
  <c r="C13" i="1"/>
  <c r="B13" i="1"/>
  <c r="A13" i="1"/>
  <c r="X12" i="1"/>
  <c r="Q12" i="1"/>
  <c r="P12" i="1"/>
  <c r="O12" i="1"/>
  <c r="H12" i="1"/>
  <c r="H27" i="1" s="1"/>
  <c r="G12" i="1"/>
  <c r="F12" i="1"/>
  <c r="E12" i="1"/>
  <c r="D12" i="1"/>
  <c r="T12" i="1" s="1"/>
  <c r="C12" i="1"/>
  <c r="B12" i="1"/>
  <c r="A12" i="1"/>
  <c r="X11" i="1"/>
  <c r="Q11" i="1"/>
  <c r="P11" i="1"/>
  <c r="O11" i="1"/>
  <c r="H11" i="1"/>
  <c r="H26" i="1" s="1"/>
  <c r="H35" i="1" s="1"/>
  <c r="G11" i="1"/>
  <c r="F11" i="1"/>
  <c r="E11" i="1"/>
  <c r="D11" i="1"/>
  <c r="T11" i="1" s="1"/>
  <c r="C11" i="1"/>
  <c r="B11" i="1"/>
  <c r="A11" i="1"/>
  <c r="X10" i="1"/>
  <c r="Q10" i="1"/>
  <c r="P10" i="1"/>
  <c r="O10" i="1"/>
  <c r="H10" i="1"/>
  <c r="H25" i="1" s="1"/>
  <c r="G10" i="1"/>
  <c r="F10" i="1"/>
  <c r="E10" i="1"/>
  <c r="Q63" i="1" s="1"/>
  <c r="D10" i="1"/>
  <c r="C10" i="1"/>
  <c r="B10" i="1"/>
  <c r="A10" i="1"/>
  <c r="X9" i="1"/>
  <c r="Q9" i="1"/>
  <c r="P9" i="1"/>
  <c r="O9" i="1"/>
  <c r="H9" i="1"/>
  <c r="N62" i="1" s="1"/>
  <c r="H62" i="1" s="1"/>
  <c r="I62" i="1" s="1"/>
  <c r="G9" i="1"/>
  <c r="F9" i="1"/>
  <c r="E9" i="1"/>
  <c r="D9" i="1"/>
  <c r="T9" i="1" s="1"/>
  <c r="C9" i="1"/>
  <c r="B9" i="1"/>
  <c r="A9" i="1"/>
  <c r="X8" i="1"/>
  <c r="Q8" i="1"/>
  <c r="P8" i="1"/>
  <c r="O8" i="1"/>
  <c r="H8" i="1"/>
  <c r="H23" i="1" s="1"/>
  <c r="H34" i="1" s="1"/>
  <c r="G8" i="1"/>
  <c r="F8" i="1"/>
  <c r="E8" i="1"/>
  <c r="D8" i="1"/>
  <c r="T8" i="1" s="1"/>
  <c r="C8" i="1"/>
  <c r="S8" i="1" s="1"/>
  <c r="B8" i="1"/>
  <c r="A8" i="1"/>
  <c r="X7" i="1"/>
  <c r="Q7" i="1"/>
  <c r="P7" i="1"/>
  <c r="O7" i="1"/>
  <c r="H7" i="1"/>
  <c r="N60" i="1" s="1"/>
  <c r="H60" i="1" s="1"/>
  <c r="I60" i="1" s="1"/>
  <c r="G7" i="1"/>
  <c r="F7" i="1"/>
  <c r="E7" i="1"/>
  <c r="D7" i="1"/>
  <c r="T7" i="1" s="1"/>
  <c r="C7" i="1"/>
  <c r="B7" i="1"/>
  <c r="A7" i="1"/>
  <c r="X6" i="1"/>
  <c r="Q6" i="1"/>
  <c r="P6" i="1"/>
  <c r="O6" i="1"/>
  <c r="K6" i="1"/>
  <c r="N6" i="1" s="1"/>
  <c r="H6" i="1"/>
  <c r="G6" i="1"/>
  <c r="F6" i="1"/>
  <c r="E6" i="1"/>
  <c r="Q59" i="1" s="1"/>
  <c r="D6" i="1"/>
  <c r="T6" i="1" s="1"/>
  <c r="C6" i="1"/>
  <c r="S6" i="1" s="1"/>
  <c r="B6" i="1"/>
  <c r="P59" i="1" s="1"/>
  <c r="A6" i="1"/>
  <c r="X5" i="1"/>
  <c r="Q5" i="1"/>
  <c r="P5" i="1"/>
  <c r="O5" i="1"/>
  <c r="H5" i="1"/>
  <c r="G5" i="1"/>
  <c r="K5" i="1" s="1"/>
  <c r="N5" i="1" s="1"/>
  <c r="F5" i="1"/>
  <c r="E5" i="1"/>
  <c r="Q58" i="1" s="1"/>
  <c r="D5" i="1"/>
  <c r="C5" i="1"/>
  <c r="B5" i="1"/>
  <c r="A5" i="1"/>
  <c r="AO4" i="1"/>
  <c r="AN4" i="1"/>
  <c r="AM4" i="1"/>
  <c r="AL4" i="1"/>
  <c r="X4" i="1"/>
  <c r="Q4" i="1"/>
  <c r="P4" i="1"/>
  <c r="O4" i="1"/>
  <c r="H4" i="1"/>
  <c r="H19" i="1" s="1"/>
  <c r="G4" i="1"/>
  <c r="F4" i="1"/>
  <c r="J4" i="1" s="1"/>
  <c r="M4" i="1" s="1"/>
  <c r="E4" i="1"/>
  <c r="I4" i="1" s="1"/>
  <c r="D4" i="1"/>
  <c r="C4" i="1"/>
  <c r="S4" i="1" s="1"/>
  <c r="B4" i="1"/>
  <c r="A4" i="1"/>
  <c r="X3" i="1"/>
  <c r="Q3" i="1"/>
  <c r="Q21" i="1" s="1"/>
  <c r="P3" i="1"/>
  <c r="O3" i="1"/>
  <c r="H3" i="1"/>
  <c r="G3" i="1"/>
  <c r="F3" i="1"/>
  <c r="E3" i="1"/>
  <c r="D3" i="1"/>
  <c r="D18" i="1" s="1"/>
  <c r="C3" i="1"/>
  <c r="B3" i="1"/>
  <c r="A3" i="1"/>
  <c r="O19" i="1" l="1"/>
  <c r="S5" i="1"/>
  <c r="J8" i="1"/>
  <c r="M8" i="1" s="1"/>
  <c r="Z8" i="1" s="1"/>
  <c r="P64" i="1"/>
  <c r="J12" i="1"/>
  <c r="M12" i="1" s="1"/>
  <c r="J6" i="1"/>
  <c r="M6" i="1" s="1"/>
  <c r="K8" i="1"/>
  <c r="N8" i="1" s="1"/>
  <c r="S9" i="1"/>
  <c r="S11" i="1"/>
  <c r="K12" i="1"/>
  <c r="N12" i="1" s="1"/>
  <c r="AA12" i="1" s="1"/>
  <c r="S13" i="1"/>
  <c r="K14" i="1"/>
  <c r="N14" i="1" s="1"/>
  <c r="AA14" i="1" s="1"/>
  <c r="J11" i="1"/>
  <c r="M11" i="1" s="1"/>
  <c r="J13" i="1"/>
  <c r="M13" i="1" s="1"/>
  <c r="R14" i="1"/>
  <c r="C29" i="1"/>
  <c r="G19" i="1"/>
  <c r="N65" i="1"/>
  <c r="H65" i="1" s="1"/>
  <c r="I65" i="1" s="1"/>
  <c r="F22" i="1"/>
  <c r="R4" i="1"/>
  <c r="I8" i="1"/>
  <c r="L8" i="1" s="1"/>
  <c r="K4" i="1"/>
  <c r="N4" i="1" s="1"/>
  <c r="J7" i="1"/>
  <c r="M7" i="1" s="1"/>
  <c r="P61" i="1"/>
  <c r="S12" i="1"/>
  <c r="Z12" i="1" s="1"/>
  <c r="P67" i="1"/>
  <c r="O25" i="1"/>
  <c r="R12" i="1"/>
  <c r="P65" i="1"/>
  <c r="T4" i="1"/>
  <c r="J5" i="1"/>
  <c r="M5" i="1" s="1"/>
  <c r="K7" i="1"/>
  <c r="N7" i="1" s="1"/>
  <c r="AA7" i="1" s="1"/>
  <c r="K10" i="1"/>
  <c r="N10" i="1" s="1"/>
  <c r="I13" i="1"/>
  <c r="L13" i="1" s="1"/>
  <c r="B26" i="1"/>
  <c r="B35" i="1" s="1"/>
  <c r="P58" i="1"/>
  <c r="P24" i="1"/>
  <c r="I9" i="1"/>
  <c r="L9" i="1" s="1"/>
  <c r="I10" i="1"/>
  <c r="P66" i="1"/>
  <c r="K13" i="1"/>
  <c r="N13" i="1" s="1"/>
  <c r="H22" i="1"/>
  <c r="H24" i="1"/>
  <c r="P63" i="1"/>
  <c r="J10" i="1"/>
  <c r="M10" i="1" s="1"/>
  <c r="N63" i="1"/>
  <c r="J9" i="1"/>
  <c r="M9" i="1" s="1"/>
  <c r="Z9" i="1" s="1"/>
  <c r="T5" i="1"/>
  <c r="AA5" i="1" s="1"/>
  <c r="S7" i="1"/>
  <c r="K9" i="1"/>
  <c r="S10" i="1"/>
  <c r="I11" i="1"/>
  <c r="J14" i="1"/>
  <c r="M14" i="1" s="1"/>
  <c r="Z14" i="1" s="1"/>
  <c r="Q64" i="1"/>
  <c r="AA6" i="1"/>
  <c r="Z4" i="1"/>
  <c r="Z6" i="1"/>
  <c r="L10" i="1"/>
  <c r="G24" i="1"/>
  <c r="G29" i="1"/>
  <c r="G21" i="1"/>
  <c r="G26" i="1"/>
  <c r="G35" i="1" s="1"/>
  <c r="G18" i="1"/>
  <c r="G23" i="1"/>
  <c r="G34" i="1" s="1"/>
  <c r="G28" i="1"/>
  <c r="G20" i="1"/>
  <c r="G33" i="1" s="1"/>
  <c r="G22" i="1"/>
  <c r="K3" i="1"/>
  <c r="D25" i="1"/>
  <c r="D22" i="1"/>
  <c r="D27" i="1"/>
  <c r="D19" i="1"/>
  <c r="D24" i="1"/>
  <c r="D29" i="1"/>
  <c r="D21" i="1"/>
  <c r="T21" i="1" s="1"/>
  <c r="D23" i="1"/>
  <c r="T3" i="1"/>
  <c r="I6" i="1"/>
  <c r="R8" i="1"/>
  <c r="AA10" i="1"/>
  <c r="I12" i="1"/>
  <c r="L12" i="1" s="1"/>
  <c r="Q65" i="1"/>
  <c r="C23" i="1"/>
  <c r="G25" i="1"/>
  <c r="O27" i="1"/>
  <c r="Q29" i="1"/>
  <c r="I80" i="1" s="1"/>
  <c r="N57" i="1"/>
  <c r="AA8" i="1"/>
  <c r="S3" i="1"/>
  <c r="E22" i="1"/>
  <c r="E27" i="1"/>
  <c r="E19" i="1"/>
  <c r="E24" i="1"/>
  <c r="E29" i="1"/>
  <c r="E21" i="1"/>
  <c r="E26" i="1"/>
  <c r="E35" i="1" s="1"/>
  <c r="E18" i="1"/>
  <c r="E28" i="1"/>
  <c r="E20" i="1"/>
  <c r="E33" i="1" s="1"/>
  <c r="R6" i="1"/>
  <c r="Q60" i="1"/>
  <c r="R9" i="1"/>
  <c r="N9" i="1"/>
  <c r="AA9" i="1" s="1"/>
  <c r="B18" i="1"/>
  <c r="D20" i="1"/>
  <c r="C21" i="1"/>
  <c r="E23" i="1"/>
  <c r="E34" i="1" s="1"/>
  <c r="Q27" i="1"/>
  <c r="P57" i="1"/>
  <c r="O60" i="1"/>
  <c r="H63" i="1"/>
  <c r="I63" i="1" s="1"/>
  <c r="J63" i="1" s="1"/>
  <c r="R63" i="1" s="1"/>
  <c r="S63" i="1" s="1"/>
  <c r="O63" i="1"/>
  <c r="P29" i="1"/>
  <c r="H80" i="1" s="1"/>
  <c r="P21" i="1"/>
  <c r="P26" i="1"/>
  <c r="P35" i="1" s="1"/>
  <c r="P18" i="1"/>
  <c r="P23" i="1"/>
  <c r="P34" i="1" s="1"/>
  <c r="P28" i="1"/>
  <c r="P20" i="1"/>
  <c r="P33" i="1" s="1"/>
  <c r="P25" i="1"/>
  <c r="P27" i="1"/>
  <c r="P19" i="1"/>
  <c r="P22" i="1"/>
  <c r="F27" i="1"/>
  <c r="F19" i="1"/>
  <c r="F24" i="1"/>
  <c r="F29" i="1"/>
  <c r="F21" i="1"/>
  <c r="F26" i="1"/>
  <c r="F35" i="1" s="1"/>
  <c r="F18" i="1"/>
  <c r="F23" i="1"/>
  <c r="F34" i="1" s="1"/>
  <c r="F25" i="1"/>
  <c r="O24" i="1"/>
  <c r="O29" i="1"/>
  <c r="G80" i="1" s="1"/>
  <c r="O21" i="1"/>
  <c r="O26" i="1"/>
  <c r="O35" i="1" s="1"/>
  <c r="O18" i="1"/>
  <c r="O23" i="1"/>
  <c r="O34" i="1" s="1"/>
  <c r="O28" i="1"/>
  <c r="O20" i="1"/>
  <c r="O33" i="1" s="1"/>
  <c r="O22" i="1"/>
  <c r="R5" i="1"/>
  <c r="I3" i="1"/>
  <c r="Q26" i="1"/>
  <c r="Q35" i="1" s="1"/>
  <c r="Q18" i="1"/>
  <c r="T18" i="1" s="1"/>
  <c r="Q23" i="1"/>
  <c r="Q34" i="1" s="1"/>
  <c r="Q28" i="1"/>
  <c r="Q20" i="1"/>
  <c r="Q33" i="1" s="1"/>
  <c r="Q25" i="1"/>
  <c r="Q22" i="1"/>
  <c r="Q24" i="1"/>
  <c r="L4" i="1"/>
  <c r="I7" i="1"/>
  <c r="Q61" i="1"/>
  <c r="T10" i="1"/>
  <c r="T13" i="1"/>
  <c r="Q19" i="1"/>
  <c r="D28" i="1"/>
  <c r="H20" i="1"/>
  <c r="H33" i="1" s="1"/>
  <c r="N58" i="1"/>
  <c r="H18" i="1"/>
  <c r="N56" i="1"/>
  <c r="P56" i="1"/>
  <c r="B23" i="1"/>
  <c r="B28" i="1"/>
  <c r="B20" i="1"/>
  <c r="B25" i="1"/>
  <c r="R25" i="1" s="1"/>
  <c r="B22" i="1"/>
  <c r="B27" i="1"/>
  <c r="B19" i="1"/>
  <c r="B29" i="1"/>
  <c r="B21" i="1"/>
  <c r="J3" i="1"/>
  <c r="R3" i="1"/>
  <c r="Q57" i="1"/>
  <c r="P60" i="1"/>
  <c r="J60" i="1" s="1"/>
  <c r="R7" i="1"/>
  <c r="D26" i="1"/>
  <c r="G27" i="1"/>
  <c r="F28" i="1"/>
  <c r="Q56" i="1"/>
  <c r="O62" i="1"/>
  <c r="O65" i="1"/>
  <c r="F20" i="1"/>
  <c r="F33" i="1" s="1"/>
  <c r="I5" i="1"/>
  <c r="L11" i="1"/>
  <c r="C28" i="1"/>
  <c r="C20" i="1"/>
  <c r="C25" i="1"/>
  <c r="C22" i="1"/>
  <c r="C27" i="1"/>
  <c r="S27" i="1" s="1"/>
  <c r="C19" i="1"/>
  <c r="C24" i="1"/>
  <c r="C26" i="1"/>
  <c r="C18" i="1"/>
  <c r="S18" i="1" s="1"/>
  <c r="H21" i="1"/>
  <c r="N59" i="1"/>
  <c r="R11" i="1"/>
  <c r="Z13" i="1"/>
  <c r="I14" i="1"/>
  <c r="L14" i="1" s="1"/>
  <c r="Q67" i="1"/>
  <c r="B24" i="1"/>
  <c r="E25" i="1"/>
  <c r="Q62" i="1"/>
  <c r="K11" i="1"/>
  <c r="N11" i="1" s="1"/>
  <c r="AA11" i="1" s="1"/>
  <c r="R13" i="1"/>
  <c r="P62" i="1"/>
  <c r="J62" i="1" s="1"/>
  <c r="R10" i="1"/>
  <c r="N66" i="1"/>
  <c r="N61" i="1"/>
  <c r="N64" i="1"/>
  <c r="N67" i="1"/>
  <c r="Y9" i="1" l="1"/>
  <c r="AF9" i="1" s="1"/>
  <c r="AG9" i="1" s="1"/>
  <c r="R28" i="1"/>
  <c r="Z5" i="1"/>
  <c r="Z11" i="1"/>
  <c r="R19" i="1"/>
  <c r="AC13" i="1"/>
  <c r="Y13" i="1"/>
  <c r="AA13" i="1"/>
  <c r="AF13" i="1" s="1"/>
  <c r="AG13" i="1" s="1"/>
  <c r="AA4" i="1"/>
  <c r="S24" i="1"/>
  <c r="R27" i="1"/>
  <c r="R22" i="1"/>
  <c r="J65" i="1"/>
  <c r="R65" i="1" s="1"/>
  <c r="S65" i="1" s="1"/>
  <c r="Z10" i="1"/>
  <c r="Z7" i="1"/>
  <c r="T19" i="1"/>
  <c r="S28" i="1"/>
  <c r="R24" i="1"/>
  <c r="S22" i="1"/>
  <c r="S25" i="1"/>
  <c r="T28" i="1"/>
  <c r="AC9" i="1"/>
  <c r="O67" i="1"/>
  <c r="H67" i="1"/>
  <c r="I67" i="1" s="1"/>
  <c r="J67" i="1" s="1"/>
  <c r="R67" i="1" s="1"/>
  <c r="S67" i="1" s="1"/>
  <c r="L7" i="1"/>
  <c r="T29" i="1"/>
  <c r="I79" i="1" s="1"/>
  <c r="R60" i="1"/>
  <c r="S60" i="1" s="1"/>
  <c r="H58" i="1"/>
  <c r="I58" i="1" s="1"/>
  <c r="J58" i="1" s="1"/>
  <c r="R58" i="1" s="1"/>
  <c r="S58" i="1" s="1"/>
  <c r="O58" i="1"/>
  <c r="AC4" i="1"/>
  <c r="Y4" i="1"/>
  <c r="AF4" i="1" s="1"/>
  <c r="AG4" i="1" s="1"/>
  <c r="AC12" i="1"/>
  <c r="Y12" i="1"/>
  <c r="AF12" i="1" s="1"/>
  <c r="AG12" i="1" s="1"/>
  <c r="T24" i="1"/>
  <c r="Y10" i="1"/>
  <c r="AC10" i="1"/>
  <c r="S20" i="1"/>
  <c r="S33" i="1" s="1"/>
  <c r="C33" i="1"/>
  <c r="J23" i="1"/>
  <c r="J28" i="1"/>
  <c r="M28" i="1" s="1"/>
  <c r="Z28" i="1" s="1"/>
  <c r="J20" i="1"/>
  <c r="J25" i="1"/>
  <c r="M25" i="1" s="1"/>
  <c r="Z25" i="1" s="1"/>
  <c r="J22" i="1"/>
  <c r="M22" i="1" s="1"/>
  <c r="Z22" i="1" s="1"/>
  <c r="J27" i="1"/>
  <c r="M27" i="1" s="1"/>
  <c r="Z27" i="1" s="1"/>
  <c r="J19" i="1"/>
  <c r="M19" i="1" s="1"/>
  <c r="J29" i="1"/>
  <c r="M29" i="1" s="1"/>
  <c r="J21" i="1"/>
  <c r="M21" i="1" s="1"/>
  <c r="J26" i="1"/>
  <c r="J18" i="1"/>
  <c r="M18" i="1" s="1"/>
  <c r="Z18" i="1" s="1"/>
  <c r="J24" i="1"/>
  <c r="M24" i="1" s="1"/>
  <c r="M3" i="1"/>
  <c r="Z3" i="1" s="1"/>
  <c r="S21" i="1"/>
  <c r="L6" i="1"/>
  <c r="T22" i="1"/>
  <c r="Y8" i="1"/>
  <c r="AF8" i="1" s="1"/>
  <c r="AG8" i="1" s="1"/>
  <c r="AC8" i="1"/>
  <c r="Q68" i="1"/>
  <c r="R26" i="1"/>
  <c r="R35" i="1" s="1"/>
  <c r="H66" i="1"/>
  <c r="I66" i="1" s="1"/>
  <c r="J66" i="1" s="1"/>
  <c r="R66" i="1" s="1"/>
  <c r="S66" i="1" s="1"/>
  <c r="O66" i="1"/>
  <c r="C35" i="1"/>
  <c r="S26" i="1"/>
  <c r="S35" i="1" s="1"/>
  <c r="AC11" i="1"/>
  <c r="Y11" i="1"/>
  <c r="AF11" i="1" s="1"/>
  <c r="AG11" i="1" s="1"/>
  <c r="R21" i="1"/>
  <c r="R23" i="1"/>
  <c r="R34" i="1" s="1"/>
  <c r="B34" i="1"/>
  <c r="D33" i="1"/>
  <c r="T20" i="1"/>
  <c r="T33" i="1" s="1"/>
  <c r="T25" i="1"/>
  <c r="S29" i="1"/>
  <c r="H79" i="1" s="1"/>
  <c r="M62" i="1"/>
  <c r="AD9" i="1"/>
  <c r="R20" i="1"/>
  <c r="R33" i="1" s="1"/>
  <c r="B33" i="1"/>
  <c r="H57" i="1"/>
  <c r="I57" i="1" s="1"/>
  <c r="J57" i="1" s="1"/>
  <c r="R57" i="1" s="1"/>
  <c r="S57" i="1" s="1"/>
  <c r="O57" i="1"/>
  <c r="O61" i="1"/>
  <c r="H61" i="1"/>
  <c r="I61" i="1" s="1"/>
  <c r="J61" i="1" s="1"/>
  <c r="R61" i="1" s="1"/>
  <c r="S61" i="1" s="1"/>
  <c r="L5" i="1"/>
  <c r="D35" i="1"/>
  <c r="T26" i="1"/>
  <c r="T35" i="1" s="1"/>
  <c r="K81" i="1"/>
  <c r="H81" i="1" s="1"/>
  <c r="G81" i="1"/>
  <c r="R29" i="1"/>
  <c r="G79" i="1" s="1"/>
  <c r="P68" i="1"/>
  <c r="R18" i="1"/>
  <c r="D34" i="1"/>
  <c r="T23" i="1"/>
  <c r="T34" i="1" s="1"/>
  <c r="K28" i="1"/>
  <c r="N28" i="1" s="1"/>
  <c r="K20" i="1"/>
  <c r="K25" i="1"/>
  <c r="N25" i="1" s="1"/>
  <c r="AA25" i="1" s="1"/>
  <c r="K22" i="1"/>
  <c r="N22" i="1" s="1"/>
  <c r="K27" i="1"/>
  <c r="N27" i="1" s="1"/>
  <c r="K19" i="1"/>
  <c r="N19" i="1" s="1"/>
  <c r="AA19" i="1" s="1"/>
  <c r="K24" i="1"/>
  <c r="N24" i="1" s="1"/>
  <c r="AA24" i="1" s="1"/>
  <c r="K26" i="1"/>
  <c r="K18" i="1"/>
  <c r="N18" i="1" s="1"/>
  <c r="AA18" i="1" s="1"/>
  <c r="K29" i="1"/>
  <c r="N29" i="1" s="1"/>
  <c r="K21" i="1"/>
  <c r="N21" i="1" s="1"/>
  <c r="AA21" i="1" s="1"/>
  <c r="K23" i="1"/>
  <c r="N3" i="1"/>
  <c r="AA3" i="1" s="1"/>
  <c r="O59" i="1"/>
  <c r="H59" i="1"/>
  <c r="I59" i="1" s="1"/>
  <c r="J59" i="1" s="1"/>
  <c r="R59" i="1" s="1"/>
  <c r="S59" i="1" s="1"/>
  <c r="I26" i="1"/>
  <c r="I18" i="1"/>
  <c r="L18" i="1" s="1"/>
  <c r="I23" i="1"/>
  <c r="I28" i="1"/>
  <c r="L28" i="1" s="1"/>
  <c r="I20" i="1"/>
  <c r="I25" i="1"/>
  <c r="L25" i="1" s="1"/>
  <c r="I22" i="1"/>
  <c r="L22" i="1" s="1"/>
  <c r="I24" i="1"/>
  <c r="L24" i="1" s="1"/>
  <c r="I27" i="1"/>
  <c r="L27" i="1" s="1"/>
  <c r="I29" i="1"/>
  <c r="L29" i="1" s="1"/>
  <c r="I21" i="1"/>
  <c r="L21" i="1" s="1"/>
  <c r="I19" i="1"/>
  <c r="L19" i="1" s="1"/>
  <c r="L3" i="1"/>
  <c r="O64" i="1"/>
  <c r="H64" i="1"/>
  <c r="I64" i="1" s="1"/>
  <c r="J64" i="1" s="1"/>
  <c r="R64" i="1" s="1"/>
  <c r="S64" i="1" s="1"/>
  <c r="T27" i="1"/>
  <c r="R62" i="1"/>
  <c r="S62" i="1" s="1"/>
  <c r="AC14" i="1"/>
  <c r="Y14" i="1"/>
  <c r="AF14" i="1" s="1"/>
  <c r="AG14" i="1" s="1"/>
  <c r="S19" i="1"/>
  <c r="O56" i="1"/>
  <c r="H56" i="1"/>
  <c r="I56" i="1" s="1"/>
  <c r="J56" i="1" s="1"/>
  <c r="AD13" i="1"/>
  <c r="M66" i="1"/>
  <c r="C34" i="1"/>
  <c r="S23" i="1"/>
  <c r="S34" i="1" s="1"/>
  <c r="AA22" i="1" l="1"/>
  <c r="AA28" i="1"/>
  <c r="Z24" i="1"/>
  <c r="AA27" i="1"/>
  <c r="AF10" i="1"/>
  <c r="AG10" i="1" s="1"/>
  <c r="J68" i="1"/>
  <c r="R68" i="1" s="1"/>
  <c r="R56" i="1"/>
  <c r="I33" i="1"/>
  <c r="L20" i="1"/>
  <c r="M64" i="1"/>
  <c r="AD11" i="1"/>
  <c r="M26" i="1"/>
  <c r="J35" i="1"/>
  <c r="AC22" i="1"/>
  <c r="AD22" i="1" s="1"/>
  <c r="Y22" i="1"/>
  <c r="AC5" i="1"/>
  <c r="Y5" i="1"/>
  <c r="AF5" i="1" s="1"/>
  <c r="AG5" i="1" s="1"/>
  <c r="AC3" i="1"/>
  <c r="Y3" i="1"/>
  <c r="AF3" i="1" s="1"/>
  <c r="AG3" i="1" s="1"/>
  <c r="AC25" i="1"/>
  <c r="AD25" i="1" s="1"/>
  <c r="Y25" i="1"/>
  <c r="AF25" i="1" s="1"/>
  <c r="AG25" i="1" s="1"/>
  <c r="M61" i="1"/>
  <c r="AD8" i="1"/>
  <c r="J33" i="1"/>
  <c r="M20" i="1"/>
  <c r="Y19" i="1"/>
  <c r="AC19" i="1"/>
  <c r="AD19" i="1" s="1"/>
  <c r="AC28" i="1"/>
  <c r="AD28" i="1" s="1"/>
  <c r="Y28" i="1"/>
  <c r="J79" i="1"/>
  <c r="Z21" i="1"/>
  <c r="J34" i="1"/>
  <c r="M23" i="1"/>
  <c r="I81" i="1"/>
  <c r="M81" i="1" s="1"/>
  <c r="M67" i="1"/>
  <c r="AD14" i="1"/>
  <c r="Y21" i="1"/>
  <c r="AC21" i="1"/>
  <c r="AD21" i="1" s="1"/>
  <c r="L23" i="1"/>
  <c r="I34" i="1"/>
  <c r="AA29" i="1"/>
  <c r="I76" i="1" s="1"/>
  <c r="K33" i="1"/>
  <c r="N20" i="1"/>
  <c r="Z29" i="1"/>
  <c r="H76" i="1" s="1"/>
  <c r="AC7" i="1"/>
  <c r="Y7" i="1"/>
  <c r="AF7" i="1" s="1"/>
  <c r="AG7" i="1" s="1"/>
  <c r="Y29" i="1"/>
  <c r="AC29" i="1"/>
  <c r="AD29" i="1" s="1"/>
  <c r="AC18" i="1"/>
  <c r="AD18" i="1" s="1"/>
  <c r="Y18" i="1"/>
  <c r="AF18" i="1" s="1"/>
  <c r="AG18" i="1" s="1"/>
  <c r="Y6" i="1"/>
  <c r="AF6" i="1" s="1"/>
  <c r="AG6" i="1" s="1"/>
  <c r="AC6" i="1"/>
  <c r="Z19" i="1"/>
  <c r="M57" i="1"/>
  <c r="AD4" i="1"/>
  <c r="Y27" i="1"/>
  <c r="AF27" i="1" s="1"/>
  <c r="AG27" i="1" s="1"/>
  <c r="AC27" i="1"/>
  <c r="AD27" i="1" s="1"/>
  <c r="I35" i="1"/>
  <c r="L26" i="1"/>
  <c r="N26" i="1"/>
  <c r="K35" i="1"/>
  <c r="AD10" i="1"/>
  <c r="M63" i="1"/>
  <c r="K34" i="1"/>
  <c r="N23" i="1"/>
  <c r="M65" i="1"/>
  <c r="AD12" i="1"/>
  <c r="Y24" i="1"/>
  <c r="AF24" i="1" s="1"/>
  <c r="AG24" i="1" s="1"/>
  <c r="AC24" i="1"/>
  <c r="AD24" i="1" s="1"/>
  <c r="AF22" i="1" l="1"/>
  <c r="AG22" i="1" s="1"/>
  <c r="AF28" i="1"/>
  <c r="AG28" i="1" s="1"/>
  <c r="AF19" i="1"/>
  <c r="AG19" i="1" s="1"/>
  <c r="AF21" i="1"/>
  <c r="AG21" i="1" s="1"/>
  <c r="N35" i="1"/>
  <c r="AA26" i="1"/>
  <c r="AA35" i="1" s="1"/>
  <c r="M59" i="1"/>
  <c r="AD6" i="1"/>
  <c r="AC26" i="1"/>
  <c r="L35" i="1"/>
  <c r="Y26" i="1"/>
  <c r="M35" i="1"/>
  <c r="Z26" i="1"/>
  <c r="Z35" i="1" s="1"/>
  <c r="M33" i="1"/>
  <c r="Z20" i="1"/>
  <c r="Z33" i="1" s="1"/>
  <c r="L33" i="1"/>
  <c r="AC20" i="1"/>
  <c r="Y20" i="1"/>
  <c r="AA20" i="1"/>
  <c r="AA33" i="1" s="1"/>
  <c r="N33" i="1"/>
  <c r="N34" i="1"/>
  <c r="AA23" i="1"/>
  <c r="AA34" i="1" s="1"/>
  <c r="M56" i="1"/>
  <c r="AD3" i="1"/>
  <c r="M34" i="1"/>
  <c r="Z23" i="1"/>
  <c r="Z34" i="1" s="1"/>
  <c r="G76" i="1"/>
  <c r="AF29" i="1"/>
  <c r="AD5" i="1"/>
  <c r="M58" i="1"/>
  <c r="AC23" i="1"/>
  <c r="L34" i="1"/>
  <c r="Y23" i="1"/>
  <c r="T60" i="1"/>
  <c r="T65" i="1"/>
  <c r="T57" i="1"/>
  <c r="T62" i="1"/>
  <c r="T67" i="1"/>
  <c r="T59" i="1"/>
  <c r="T64" i="1"/>
  <c r="T56" i="1"/>
  <c r="T66" i="1"/>
  <c r="T58" i="1"/>
  <c r="S56" i="1"/>
  <c r="T61" i="1"/>
  <c r="T63" i="1"/>
  <c r="AD7" i="1"/>
  <c r="M60" i="1"/>
  <c r="S68" i="1"/>
  <c r="R71" i="1"/>
  <c r="AG29" i="1" l="1"/>
  <c r="J76" i="1"/>
  <c r="Y35" i="1"/>
  <c r="AF26" i="1"/>
  <c r="AF20" i="1"/>
  <c r="Y33" i="1"/>
  <c r="Y34" i="1"/>
  <c r="AF23" i="1"/>
  <c r="AD23" i="1"/>
  <c r="AD34" i="1" s="1"/>
  <c r="AC34" i="1"/>
  <c r="AC33" i="1"/>
  <c r="AD20" i="1"/>
  <c r="AD33" i="1" s="1"/>
  <c r="AC35" i="1"/>
  <c r="AD26" i="1"/>
  <c r="AD35" i="1" s="1"/>
  <c r="AG23" i="1" l="1"/>
  <c r="AG34" i="1" s="1"/>
  <c r="AF34" i="1"/>
  <c r="AF33" i="1"/>
  <c r="AG20" i="1"/>
  <c r="AG33" i="1" s="1"/>
  <c r="AF35" i="1"/>
  <c r="AG26" i="1"/>
  <c r="AG35" i="1" s="1"/>
</calcChain>
</file>

<file path=xl/sharedStrings.xml><?xml version="1.0" encoding="utf-8"?>
<sst xmlns="http://schemas.openxmlformats.org/spreadsheetml/2006/main" count="115" uniqueCount="74">
  <si>
    <t>mm:AA</t>
  </si>
  <si>
    <t>Producción (MWh)</t>
  </si>
  <si>
    <t>Consumo  (Tn)</t>
  </si>
  <si>
    <t xml:space="preserve">Poder calorífico
carbón
 (Kcal/Kg) </t>
  </si>
  <si>
    <t>TOTAL ENERGIA EN EL 
CARBÓN (MBTU)</t>
  </si>
  <si>
    <t>CONSUMO TÉRMICO ESPECÍFICO SIN CORREGIR
(MBTU/MWh)</t>
  </si>
  <si>
    <t>HORAS DE
OPERACIÓN</t>
  </si>
  <si>
    <t xml:space="preserve">POTENCIA PROMEDIO DE 
GENERACIÓN (MW) </t>
  </si>
  <si>
    <t>CAPACIDAD EFECTIVA NETA - CEN
(MW)</t>
  </si>
  <si>
    <t>CONSUMO TÉRMICO ESPECÍFICO 
CORREGIDO (MBTU/MWh)</t>
  </si>
  <si>
    <t>CONSUMO TÉRMICO
ESPECÍFICO SIN  CORREGIR</t>
  </si>
  <si>
    <t>DESEMPEÑO
SIN CORREGIR
(%)</t>
  </si>
  <si>
    <t>CONSUMO TÉRMICO
ESPECÍFICO CORREGIDO (MBTU/MWh)</t>
  </si>
  <si>
    <t>DESEMPEÑO
(%)</t>
  </si>
  <si>
    <t>META 2020 - CONSUMO TÉRMICO ESPECÍFICO 
 (MBTU/MWh)</t>
  </si>
  <si>
    <t>META 2020
DESEMPEÑO
(%)</t>
  </si>
  <si>
    <t>Unidad Uno</t>
  </si>
  <si>
    <t xml:space="preserve">Unidad Dos </t>
  </si>
  <si>
    <t xml:space="preserve">Unidad Tres </t>
  </si>
  <si>
    <t>CEN
TOTAL</t>
  </si>
  <si>
    <t>PLANTA</t>
  </si>
  <si>
    <t xml:space="preserve">INDICADOR ACUMULADO                          INDICADOR ACUMULADO                                       INDICADOR ACUMULADO                           INDICADOR ACUMULADO                                    INDICADOR ACUMULADO  </t>
  </si>
  <si>
    <t>ene-20-feb-20</t>
  </si>
  <si>
    <t>ene-20-mar-20</t>
  </si>
  <si>
    <t>ene-20-abr-20</t>
  </si>
  <si>
    <t>ene-20-may-20</t>
  </si>
  <si>
    <t>ene-20-jun-20</t>
  </si>
  <si>
    <t>ene-20-jul-20</t>
  </si>
  <si>
    <t>ene-20-ago-20</t>
  </si>
  <si>
    <t>ene-20-sep-20</t>
  </si>
  <si>
    <t>ene-20-oct-20</t>
  </si>
  <si>
    <t>ene-20-nov-20</t>
  </si>
  <si>
    <t>ene-20-dic-20</t>
  </si>
  <si>
    <t>1° TRIMESTRE</t>
  </si>
  <si>
    <t>2° TRIMESTRE</t>
  </si>
  <si>
    <t>3° TRIMESTRE</t>
  </si>
  <si>
    <t>4° TRIMESTRE</t>
  </si>
  <si>
    <t>2019 VS 2020</t>
  </si>
  <si>
    <t>CTE 2019
SIN CORREGIR</t>
  </si>
  <si>
    <t xml:space="preserve">
CTE 2019
CORREGIDO</t>
  </si>
  <si>
    <t>PERIODO</t>
  </si>
  <si>
    <t>CONSUMO TÉRMICO
ESPECÍFICO
SIN CORREGIR (MBTU/MWh)</t>
  </si>
  <si>
    <t xml:space="preserve">Poder calorífico
carbón promedio
 (Kcal/Kg) 
</t>
  </si>
  <si>
    <t xml:space="preserve">Poder calorífico
carbón promedio
 (MBTU/Ton) 
</t>
  </si>
  <si>
    <t>Consumo de carbón 
(Ton)</t>
  </si>
  <si>
    <t>CONSUMO TÉRMICO
ESPECÍFICO
SIN CORREGIR 
(MBTU/MWh)</t>
  </si>
  <si>
    <t>TOTAL GENERACIÓN 
(MWh)</t>
  </si>
  <si>
    <t>Ahorro de carbón del mes (Ton) (Ton)</t>
  </si>
  <si>
    <t>Ahorro de carbón del mes (Ton) (%)</t>
  </si>
  <si>
    <t>Ahorro de carbón acumulado (%)</t>
  </si>
  <si>
    <t>CONSOLIDADO AÑO</t>
  </si>
  <si>
    <t>Ahorros económicos</t>
  </si>
  <si>
    <t>Valor promedio de la Tonelada de carbón 2020</t>
  </si>
  <si>
    <t>INFORME DE SOSTENIBILIDAD 2020</t>
  </si>
  <si>
    <t xml:space="preserve">DESEMPEÑO ENERGETICO </t>
  </si>
  <si>
    <t>UNIDAD 1</t>
  </si>
  <si>
    <t>UNIDAD 2</t>
  </si>
  <si>
    <t>UNIDAD 3</t>
  </si>
  <si>
    <t>Consumo Térmico Especifico</t>
  </si>
  <si>
    <t xml:space="preserve">MBTU/MWh </t>
  </si>
  <si>
    <t>Meta Anual</t>
  </si>
  <si>
    <t>Desempeño Energético 2020</t>
  </si>
  <si>
    <t>Condiciones Operativas 20120</t>
  </si>
  <si>
    <t xml:space="preserve">UNIDAD 1 </t>
  </si>
  <si>
    <t xml:space="preserve">UNIDAD 2 </t>
  </si>
  <si>
    <t xml:space="preserve">UNIDAD 3 </t>
  </si>
  <si>
    <t xml:space="preserve">Capacidad Nominal </t>
  </si>
  <si>
    <t xml:space="preserve">36 MW </t>
  </si>
  <si>
    <t xml:space="preserve">72 MW </t>
  </si>
  <si>
    <t xml:space="preserve">70 MW </t>
  </si>
  <si>
    <t xml:space="preserve">178MW </t>
  </si>
  <si>
    <t xml:space="preserve">Generación promedio  </t>
  </si>
  <si>
    <t xml:space="preserve">Tiempo Operación </t>
  </si>
  <si>
    <t xml:space="preserve">Aporte de Generación por unidad.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</si>
</sst>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(* #,##0_);_(* \(#,##0\);_(* &quot;-&quot;??_);_(@_)"/>
    <numFmt numFmtId="167" formatCode="_-[$$-240A]\ * #,##0_-;\-[$$-240A]\ * #,##0_-;_-[$$-240A]\ * &quot;-&quot;??_-;_-@_-"/>
    <numFmt numFmtId="168" formatCode="_-&quot;$&quot;\ * #,##0_-;\-&quot;$&quot;\ * #,##0_-;_-&quot;$&quot;\ 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9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3" fillId="4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17" fontId="0" fillId="10" borderId="5" xfId="0" applyNumberFormat="1" applyFill="1" applyBorder="1"/>
    <xf numFmtId="4" fontId="1" fillId="0" borderId="5" xfId="0" applyNumberFormat="1" applyFont="1" applyBorder="1"/>
    <xf numFmtId="4" fontId="0" fillId="3" borderId="5" xfId="0" applyNumberFormat="1" applyFill="1" applyBorder="1"/>
    <xf numFmtId="2" fontId="0" fillId="0" borderId="5" xfId="0" applyNumberFormat="1" applyBorder="1"/>
    <xf numFmtId="164" fontId="0" fillId="4" borderId="5" xfId="1" applyFont="1" applyFill="1" applyBorder="1"/>
    <xf numFmtId="2" fontId="0" fillId="5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6" borderId="5" xfId="0" applyNumberFormat="1" applyFill="1" applyBorder="1"/>
    <xf numFmtId="1" fontId="0" fillId="0" borderId="5" xfId="0" applyNumberFormat="1" applyBorder="1" applyAlignment="1">
      <alignment horizontal="center"/>
    </xf>
    <xf numFmtId="2" fontId="0" fillId="5" borderId="5" xfId="0" applyNumberFormat="1" applyFill="1" applyBorder="1"/>
    <xf numFmtId="2" fontId="1" fillId="7" borderId="5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6" fillId="9" borderId="5" xfId="3" applyNumberFormat="1" applyFont="1" applyFill="1" applyBorder="1" applyAlignment="1">
      <alignment horizontal="center"/>
    </xf>
    <xf numFmtId="0" fontId="0" fillId="0" borderId="5" xfId="0" applyBorder="1"/>
    <xf numFmtId="10" fontId="0" fillId="0" borderId="5" xfId="3" applyNumberFormat="1" applyFont="1" applyFill="1" applyBorder="1" applyAlignment="1">
      <alignment horizontal="center"/>
    </xf>
    <xf numFmtId="10" fontId="6" fillId="0" borderId="0" xfId="3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17" fontId="0" fillId="0" borderId="0" xfId="0" applyNumberFormat="1"/>
    <xf numFmtId="17" fontId="0" fillId="0" borderId="7" xfId="0" applyNumberFormat="1" applyFill="1" applyBorder="1"/>
    <xf numFmtId="4" fontId="1" fillId="0" borderId="0" xfId="0" applyNumberFormat="1" applyFont="1" applyBorder="1"/>
    <xf numFmtId="164" fontId="0" fillId="0" borderId="0" xfId="1" applyFont="1"/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Border="1"/>
    <xf numFmtId="0" fontId="0" fillId="0" borderId="0" xfId="0" applyFill="1" applyBorder="1"/>
    <xf numFmtId="17" fontId="0" fillId="0" borderId="0" xfId="0" applyNumberForma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" fontId="0" fillId="10" borderId="6" xfId="0" applyNumberFormat="1" applyFill="1" applyBorder="1"/>
    <xf numFmtId="4" fontId="1" fillId="0" borderId="6" xfId="0" applyNumberFormat="1" applyFont="1" applyBorder="1"/>
    <xf numFmtId="4" fontId="1" fillId="3" borderId="6" xfId="0" applyNumberFormat="1" applyFont="1" applyFill="1" applyBorder="1"/>
    <xf numFmtId="2" fontId="0" fillId="0" borderId="6" xfId="0" applyNumberFormat="1" applyBorder="1"/>
    <xf numFmtId="4" fontId="1" fillId="4" borderId="6" xfId="0" applyNumberFormat="1" applyFont="1" applyFill="1" applyBorder="1"/>
    <xf numFmtId="2" fontId="0" fillId="5" borderId="6" xfId="0" applyNumberForma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2" fontId="0" fillId="6" borderId="6" xfId="0" applyNumberFormat="1" applyFill="1" applyBorder="1"/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5" borderId="6" xfId="0" applyNumberFormat="1" applyFill="1" applyBorder="1"/>
    <xf numFmtId="2" fontId="1" fillId="7" borderId="6" xfId="0" applyNumberFormat="1" applyFont="1" applyFill="1" applyBorder="1" applyAlignment="1">
      <alignment horizontal="center"/>
    </xf>
    <xf numFmtId="2" fontId="5" fillId="5" borderId="6" xfId="0" applyNumberFormat="1" applyFont="1" applyFill="1" applyBorder="1" applyAlignment="1">
      <alignment horizontal="center"/>
    </xf>
    <xf numFmtId="17" fontId="1" fillId="10" borderId="5" xfId="0" applyNumberFormat="1" applyFont="1" applyFill="1" applyBorder="1"/>
    <xf numFmtId="4" fontId="1" fillId="3" borderId="5" xfId="0" applyNumberFormat="1" applyFont="1" applyFill="1" applyBorder="1"/>
    <xf numFmtId="4" fontId="1" fillId="4" borderId="5" xfId="0" applyNumberFormat="1" applyFont="1" applyFill="1" applyBorder="1"/>
    <xf numFmtId="3" fontId="1" fillId="0" borderId="5" xfId="0" applyNumberFormat="1" applyFont="1" applyBorder="1" applyAlignment="1">
      <alignment horizontal="center"/>
    </xf>
    <xf numFmtId="4" fontId="1" fillId="0" borderId="0" xfId="0" applyNumberFormat="1" applyFont="1" applyFill="1" applyBorder="1"/>
    <xf numFmtId="164" fontId="0" fillId="0" borderId="0" xfId="1" applyFont="1" applyFill="1" applyBorder="1"/>
    <xf numFmtId="2" fontId="0" fillId="0" borderId="0" xfId="0" applyNumberFormat="1" applyFill="1" applyBorder="1" applyAlignment="1"/>
    <xf numFmtId="165" fontId="1" fillId="0" borderId="0" xfId="0" applyNumberFormat="1" applyFont="1" applyFill="1" applyBorder="1"/>
    <xf numFmtId="17" fontId="0" fillId="0" borderId="6" xfId="0" applyNumberFormat="1" applyFill="1" applyBorder="1"/>
    <xf numFmtId="4" fontId="0" fillId="0" borderId="0" xfId="0" applyNumberFormat="1" applyFill="1" applyBorder="1"/>
    <xf numFmtId="4" fontId="0" fillId="0" borderId="0" xfId="1" applyNumberFormat="1" applyFont="1" applyFill="1" applyBorder="1"/>
    <xf numFmtId="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2" fontId="9" fillId="0" borderId="0" xfId="0" applyNumberFormat="1" applyFont="1" applyAlignment="1">
      <alignment horizontal="center"/>
    </xf>
    <xf numFmtId="17" fontId="0" fillId="0" borderId="5" xfId="0" applyNumberFormat="1" applyBorder="1"/>
    <xf numFmtId="164" fontId="0" fillId="0" borderId="5" xfId="1" applyNumberFormat="1" applyFont="1" applyBorder="1" applyAlignment="1">
      <alignment horizontal="right"/>
    </xf>
    <xf numFmtId="2" fontId="0" fillId="0" borderId="5" xfId="0" applyNumberFormat="1" applyFill="1" applyBorder="1"/>
    <xf numFmtId="17" fontId="0" fillId="0" borderId="5" xfId="1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10" fontId="0" fillId="5" borderId="5" xfId="3" applyNumberFormat="1" applyFont="1" applyFill="1" applyBorder="1" applyAlignment="1">
      <alignment horizontal="right"/>
    </xf>
    <xf numFmtId="10" fontId="1" fillId="5" borderId="5" xfId="3" applyNumberFormat="1" applyFont="1" applyFill="1" applyBorder="1" applyAlignment="1">
      <alignment horizontal="right"/>
    </xf>
    <xf numFmtId="0" fontId="1" fillId="0" borderId="0" xfId="0" applyFont="1" applyFill="1" applyBorder="1"/>
    <xf numFmtId="166" fontId="0" fillId="0" borderId="5" xfId="1" applyNumberFormat="1" applyFont="1" applyBorder="1" applyAlignment="1">
      <alignment horizontal="right"/>
    </xf>
    <xf numFmtId="0" fontId="10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5" borderId="5" xfId="0" applyNumberFormat="1" applyFont="1" applyFill="1" applyBorder="1" applyAlignment="1">
      <alignment horizontal="right"/>
    </xf>
    <xf numFmtId="10" fontId="3" fillId="5" borderId="5" xfId="3" applyNumberFormat="1" applyFont="1" applyFill="1" applyBorder="1" applyAlignment="1">
      <alignment horizontal="right"/>
    </xf>
    <xf numFmtId="2" fontId="4" fillId="5" borderId="5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1" fillId="5" borderId="5" xfId="0" applyFont="1" applyFill="1" applyBorder="1"/>
    <xf numFmtId="10" fontId="0" fillId="0" borderId="0" xfId="3" applyNumberFormat="1" applyFont="1" applyFill="1" applyBorder="1"/>
    <xf numFmtId="167" fontId="0" fillId="5" borderId="5" xfId="0" applyNumberFormat="1" applyFill="1" applyBorder="1"/>
    <xf numFmtId="167" fontId="0" fillId="0" borderId="0" xfId="2" applyNumberFormat="1" applyFont="1" applyFill="1" applyBorder="1"/>
    <xf numFmtId="0" fontId="1" fillId="0" borderId="0" xfId="0" applyFont="1" applyFill="1" applyBorder="1" applyAlignment="1"/>
    <xf numFmtId="0" fontId="0" fillId="0" borderId="0" xfId="0" applyAlignment="1"/>
    <xf numFmtId="0" fontId="11" fillId="12" borderId="11" xfId="0" applyFont="1" applyFill="1" applyBorder="1" applyAlignment="1">
      <alignment vertical="center" wrapText="1"/>
    </xf>
    <xf numFmtId="0" fontId="11" fillId="12" borderId="12" xfId="0" applyFont="1" applyFill="1" applyBorder="1" applyAlignment="1">
      <alignment horizontal="center" vertical="center" wrapText="1"/>
    </xf>
    <xf numFmtId="43" fontId="0" fillId="0" borderId="0" xfId="0" applyNumberFormat="1"/>
    <xf numFmtId="0" fontId="11" fillId="12" borderId="13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2" fontId="11" fillId="8" borderId="1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44" fontId="0" fillId="0" borderId="0" xfId="2" applyFont="1"/>
    <xf numFmtId="10" fontId="11" fillId="8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8" fontId="0" fillId="0" borderId="0" xfId="2" applyNumberFormat="1" applyFont="1"/>
    <xf numFmtId="10" fontId="0" fillId="0" borderId="0" xfId="0" applyNumberFormat="1"/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6" fillId="0" borderId="0" xfId="3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17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</a:t>
            </a:r>
            <a:r>
              <a:rPr lang="es-CO" baseline="0"/>
              <a:t> ENERGETICO ACUMULADO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baseline="0"/>
              <a:t>UNIDAD UNO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META 2020 ≤ 12,54 MBTU/MWh</a:t>
            </a:r>
          </a:p>
        </c:rich>
      </c:tx>
      <c:layout>
        <c:manualLayout>
          <c:xMode val="edge"/>
          <c:yMode val="edge"/>
          <c:x val="0.16620822397200349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MENSUAL!$Y$1</c:f>
              <c:strCache>
                <c:ptCount val="1"/>
                <c:pt idx="0">
                  <c:v>CONSUMO TÉRMICO ESPECÍFICO 
CORREGIDO (MBTU/MWh)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MENSUAL!$Y$33:$Y$36</c:f>
            </c:numRef>
          </c:val>
          <c:smooth val="0"/>
          <c:extLst>
            <c:ext xmlns:c16="http://schemas.microsoft.com/office/drawing/2014/chart" uri="{C3380CC4-5D6E-409C-BE32-E72D297353CC}">
              <c16:uniqueId val="{00000000-DE71-451E-9374-03EAC36487DD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2020 - CONSUMO TÉRMICO ESPECÍFICO 
 (MBTU/MWh)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MENSUAL!$AL$6:$AL$9</c:f>
              <c:numCache>
                <c:formatCode>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71-451E-9374-03EAC3648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4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DESEMPEÑO ENERGETICO ACUMULADO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UNIDAD DOS</a:t>
            </a:r>
            <a:endParaRPr lang="es-C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2020 ≤ 11,51 MBTU/MWh</a:t>
            </a:r>
            <a:endParaRPr lang="es-CO" sz="1400">
              <a:effectLst/>
            </a:endParaRPr>
          </a:p>
        </c:rich>
      </c:tx>
      <c:layout>
        <c:manualLayout>
          <c:xMode val="edge"/>
          <c:yMode val="edge"/>
          <c:x val="0.16620822397200349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MENSUAL!$Y$1</c:f>
              <c:strCache>
                <c:ptCount val="1"/>
                <c:pt idx="0">
                  <c:v>CONSUMO TÉRMICO ESPECÍFICO 
CORREGIDO (MBTU/MWh)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MENSUAL!$Z$33:$Z$36</c:f>
            </c:numRef>
          </c:val>
          <c:smooth val="0"/>
          <c:extLst>
            <c:ext xmlns:c16="http://schemas.microsoft.com/office/drawing/2014/chart" uri="{C3380CC4-5D6E-409C-BE32-E72D297353CC}">
              <c16:uniqueId val="{00000000-4B51-40EC-A782-3DAE24A0D9A1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2020 - CONSUMO TÉRMICO ESPECÍFICO 
 (MBTU/MWh)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MENSUAL!$AM$6:$AM$9</c:f>
              <c:numCache>
                <c:formatCode>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1-40EC-A782-3DAE24A0D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DESEMPEÑO ENERGETICO ACUMULADO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UNIDAD TRES</a:t>
            </a:r>
            <a:endParaRPr lang="es-C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2020 ≤ 11,69 MBTU/MWh</a:t>
            </a:r>
          </a:p>
        </c:rich>
      </c:tx>
      <c:layout>
        <c:manualLayout>
          <c:xMode val="edge"/>
          <c:yMode val="edge"/>
          <c:x val="0.16620822397200349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MENSUAL!$Y$1</c:f>
              <c:strCache>
                <c:ptCount val="1"/>
                <c:pt idx="0">
                  <c:v>CONSUMO TÉRMICO ESPECÍFICO 
CORREGIDO (MBTU/MWh)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MENSUAL!$AA$33:$AA$36</c:f>
            </c:numRef>
          </c:val>
          <c:smooth val="0"/>
          <c:extLst>
            <c:ext xmlns:c16="http://schemas.microsoft.com/office/drawing/2014/chart" uri="{C3380CC4-5D6E-409C-BE32-E72D297353CC}">
              <c16:uniqueId val="{00000000-A6A3-42D9-92E7-78BFEEEF7809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2020 - CONSUMO TÉRMICO ESPECÍFICO 
 (MBTU/MWh)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MENSUAL!$AN$6:$AN$9</c:f>
              <c:numCache>
                <c:formatCode>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A3-42D9-92E7-78BFEEEF7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DESEMPEÑO ENERGETICO ACUMULADO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PLANTA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2020 ≤ 11,79 MBTU/MWh</a:t>
            </a:r>
          </a:p>
        </c:rich>
      </c:tx>
      <c:layout>
        <c:manualLayout>
          <c:xMode val="edge"/>
          <c:yMode val="edge"/>
          <c:x val="0.1773605094389204"/>
          <c:y val="2.78456216041868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MENSUAL!$AF$1</c:f>
              <c:strCache>
                <c:ptCount val="1"/>
                <c:pt idx="0">
                  <c:v>CONSUMO TÉRMICO
ESPECÍFICO CORREGIDO (MBTU/MWh)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MENSUAL!$AF$33:$AF$36</c:f>
            </c:numRef>
          </c:val>
          <c:smooth val="0"/>
          <c:extLst>
            <c:ext xmlns:c16="http://schemas.microsoft.com/office/drawing/2014/chart" uri="{C3380CC4-5D6E-409C-BE32-E72D297353CC}">
              <c16:uniqueId val="{00000000-562F-4206-8440-032B0044964B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2020 - CONSUMO TÉRMICO ESPECÍFICO 
 (MBTU/MWh)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MENSUAL!$AO$6:$AO$9</c:f>
              <c:numCache>
                <c:formatCode>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F-4206-8440-032B00449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EFICIENCIA PLANTA ACUMULADA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2020 ≥ 28,94%</a:t>
            </a:r>
          </a:p>
        </c:rich>
      </c:tx>
      <c:layout>
        <c:manualLayout>
          <c:xMode val="edge"/>
          <c:yMode val="edge"/>
          <c:x val="0.22196956441848295"/>
          <c:y val="4.1938396449360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MENSUAL!$AG$1</c:f>
              <c:strCache>
                <c:ptCount val="1"/>
                <c:pt idx="0">
                  <c:v>DESEMPEÑO
(%)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MENSUAL!$AG$33:$AG$36</c:f>
            </c:numRef>
          </c:val>
          <c:smooth val="0"/>
          <c:extLst>
            <c:ext xmlns:c16="http://schemas.microsoft.com/office/drawing/2014/chart" uri="{C3380CC4-5D6E-409C-BE32-E72D297353CC}">
              <c16:uniqueId val="{00000000-651F-44B8-9C2E-E250D8F11892}"/>
            </c:ext>
          </c:extLst>
        </c:ser>
        <c:ser>
          <c:idx val="1"/>
          <c:order val="1"/>
          <c:tx>
            <c:strRef>
              <c:f>MENSUAL!$AP$1</c:f>
              <c:strCache>
                <c:ptCount val="1"/>
                <c:pt idx="0">
                  <c:v>META 2020
DESEMPEÑO
(%)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MENSUAL!$AP$6:$AP$9</c:f>
              <c:numCache>
                <c:formatCode>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F-44B8-9C2E-E250D8F11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3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33617</xdr:colOff>
      <xdr:row>65</xdr:row>
      <xdr:rowOff>156881</xdr:rowOff>
    </xdr:from>
    <xdr:to>
      <xdr:col>20</xdr:col>
      <xdr:colOff>11206</xdr:colOff>
      <xdr:row>67</xdr:row>
      <xdr:rowOff>0</xdr:rowOff>
    </xdr:to>
    <xdr:sp macro="" textlink="">
      <xdr:nvSpPr>
        <xdr:cNvPr id="2" name="Rectángulo 1"/>
        <xdr:cNvSpPr/>
      </xdr:nvSpPr>
      <xdr:spPr>
        <a:xfrm>
          <a:off x="17340542" y="11939306"/>
          <a:ext cx="853889" cy="16696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32</xdr:col>
      <xdr:colOff>85167</xdr:colOff>
      <xdr:row>27</xdr:row>
      <xdr:rowOff>145675</xdr:rowOff>
    </xdr:from>
    <xdr:to>
      <xdr:col>32</xdr:col>
      <xdr:colOff>918884</xdr:colOff>
      <xdr:row>28</xdr:row>
      <xdr:rowOff>152399</xdr:rowOff>
    </xdr:to>
    <xdr:sp macro="" textlink="">
      <xdr:nvSpPr>
        <xdr:cNvPr id="3" name="Rectángulo 2"/>
        <xdr:cNvSpPr/>
      </xdr:nvSpPr>
      <xdr:spPr>
        <a:xfrm>
          <a:off x="29326917" y="4851025"/>
          <a:ext cx="833717" cy="16864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78440</xdr:colOff>
      <xdr:row>44</xdr:row>
      <xdr:rowOff>145675</xdr:rowOff>
    </xdr:from>
    <xdr:to>
      <xdr:col>26</xdr:col>
      <xdr:colOff>420157</xdr:colOff>
      <xdr:row>57</xdr:row>
      <xdr:rowOff>148570</xdr:rowOff>
    </xdr:to>
    <xdr:graphicFrame macro="">
      <xdr:nvGraphicFramePr>
        <xdr:cNvPr id="4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537881</xdr:colOff>
      <xdr:row>45</xdr:row>
      <xdr:rowOff>1</xdr:rowOff>
    </xdr:from>
    <xdr:to>
      <xdr:col>30</xdr:col>
      <xdr:colOff>644275</xdr:colOff>
      <xdr:row>58</xdr:row>
      <xdr:rowOff>2896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358587</xdr:colOff>
      <xdr:row>45</xdr:row>
      <xdr:rowOff>11208</xdr:rowOff>
    </xdr:from>
    <xdr:to>
      <xdr:col>36</xdr:col>
      <xdr:colOff>431363</xdr:colOff>
      <xdr:row>58</xdr:row>
      <xdr:rowOff>14103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246529</xdr:colOff>
      <xdr:row>45</xdr:row>
      <xdr:rowOff>1</xdr:rowOff>
    </xdr:from>
    <xdr:to>
      <xdr:col>41</xdr:col>
      <xdr:colOff>588246</xdr:colOff>
      <xdr:row>58</xdr:row>
      <xdr:rowOff>2896</xdr:rowOff>
    </xdr:to>
    <xdr:graphicFrame macro="">
      <xdr:nvGraphicFramePr>
        <xdr:cNvPr id="7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0</xdr:colOff>
      <xdr:row>45</xdr:row>
      <xdr:rowOff>11206</xdr:rowOff>
    </xdr:from>
    <xdr:to>
      <xdr:col>47</xdr:col>
      <xdr:colOff>532218</xdr:colOff>
      <xdr:row>58</xdr:row>
      <xdr:rowOff>14101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anabria/Nueva%20carpeta%20(2)/1.%20ARCHIVOS%20EFICIENCIA%20ENERGETICA/2.%20INFORME%20TRIMESTRAL/4.%20A&#209;O%202020/MEMORIA%20DE%20CALCULO%20INDICADOR%20DE%20EFICIENCI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O ENERGETICO"/>
      <sheetName val="MENSUAL"/>
      <sheetName val="BIMESTRAL"/>
      <sheetName val="TRIMESTRAL"/>
      <sheetName val="SEMESTRAL"/>
      <sheetName val="ACUMULADO 2019"/>
      <sheetName val="GRAFICA INDICADOR 2015-2023"/>
      <sheetName val="MENSUAL COMPRESORES"/>
      <sheetName val="Resumen"/>
    </sheetNames>
    <sheetDataSet>
      <sheetData sheetId="0">
        <row r="65">
          <cell r="A65">
            <v>43831</v>
          </cell>
          <cell r="B65">
            <v>11870.23</v>
          </cell>
          <cell r="F65">
            <v>21297.09</v>
          </cell>
          <cell r="J65">
            <v>651</v>
          </cell>
          <cell r="K65">
            <v>6057.2015459332861</v>
          </cell>
          <cell r="L65">
            <v>24809.78</v>
          </cell>
          <cell r="O65">
            <v>50990.96</v>
          </cell>
          <cell r="S65">
            <v>744</v>
          </cell>
          <cell r="T65">
            <v>19621.990000000002</v>
          </cell>
          <cell r="W65">
            <v>39823.81</v>
          </cell>
          <cell r="AA65">
            <v>682</v>
          </cell>
        </row>
        <row r="66">
          <cell r="A66">
            <v>43862</v>
          </cell>
          <cell r="B66">
            <v>9014.39</v>
          </cell>
          <cell r="F66">
            <v>17093.5</v>
          </cell>
          <cell r="J66">
            <v>495</v>
          </cell>
          <cell r="K66">
            <v>6096.32</v>
          </cell>
          <cell r="L66">
            <v>22798.03</v>
          </cell>
          <cell r="O66">
            <v>47995.49</v>
          </cell>
          <cell r="S66">
            <v>695</v>
          </cell>
          <cell r="T66">
            <v>17611.03</v>
          </cell>
          <cell r="W66">
            <v>37921.08</v>
          </cell>
          <cell r="AA66">
            <v>645</v>
          </cell>
        </row>
        <row r="67">
          <cell r="A67">
            <v>43891</v>
          </cell>
          <cell r="B67">
            <v>13638.56</v>
          </cell>
          <cell r="F67">
            <v>25358.880000000001</v>
          </cell>
          <cell r="J67">
            <v>742</v>
          </cell>
          <cell r="K67">
            <v>5907.93</v>
          </cell>
          <cell r="L67">
            <v>21628.37</v>
          </cell>
          <cell r="O67">
            <v>44762.26</v>
          </cell>
          <cell r="S67">
            <v>662</v>
          </cell>
          <cell r="T67">
            <v>23527.03</v>
          </cell>
          <cell r="W67">
            <v>49436.89</v>
          </cell>
          <cell r="AA67">
            <v>744</v>
          </cell>
        </row>
        <row r="68">
          <cell r="A68">
            <v>43922</v>
          </cell>
          <cell r="B68">
            <v>10924.57</v>
          </cell>
          <cell r="F68">
            <v>20207.919999999998</v>
          </cell>
          <cell r="J68">
            <v>637</v>
          </cell>
          <cell r="K68">
            <v>5960.14</v>
          </cell>
          <cell r="L68">
            <v>20177.14</v>
          </cell>
          <cell r="O68">
            <v>42142.52</v>
          </cell>
          <cell r="S68">
            <v>640</v>
          </cell>
          <cell r="T68">
            <v>19494.689999999999</v>
          </cell>
          <cell r="W68">
            <v>41012.68</v>
          </cell>
          <cell r="AA68">
            <v>634</v>
          </cell>
        </row>
        <row r="69">
          <cell r="A69">
            <v>43952</v>
          </cell>
          <cell r="B69">
            <v>13012.54</v>
          </cell>
          <cell r="F69">
            <v>23455.59</v>
          </cell>
          <cell r="J69">
            <v>689</v>
          </cell>
          <cell r="K69">
            <v>5884.77</v>
          </cell>
          <cell r="L69">
            <v>21308.3</v>
          </cell>
          <cell r="O69">
            <v>44078.07</v>
          </cell>
          <cell r="S69">
            <v>655</v>
          </cell>
          <cell r="T69">
            <v>20740.73</v>
          </cell>
          <cell r="W69">
            <v>42992.82</v>
          </cell>
          <cell r="AA69">
            <v>656</v>
          </cell>
        </row>
        <row r="70">
          <cell r="A70">
            <v>43983</v>
          </cell>
          <cell r="B70">
            <v>213.16</v>
          </cell>
          <cell r="F70">
            <v>402.19</v>
          </cell>
          <cell r="J70">
            <v>16</v>
          </cell>
          <cell r="K70">
            <v>5974.02</v>
          </cell>
          <cell r="L70">
            <v>20974.48</v>
          </cell>
          <cell r="O70">
            <v>42416.97</v>
          </cell>
          <cell r="S70">
            <v>648</v>
          </cell>
          <cell r="T70">
            <v>21263.94</v>
          </cell>
          <cell r="W70">
            <v>44237.120000000003</v>
          </cell>
          <cell r="AA70">
            <v>666</v>
          </cell>
        </row>
        <row r="71">
          <cell r="A71">
            <v>44013</v>
          </cell>
          <cell r="B71">
            <v>1994.33</v>
          </cell>
          <cell r="F71">
            <v>3324.36</v>
          </cell>
          <cell r="J71">
            <v>120</v>
          </cell>
          <cell r="K71">
            <v>6246.74</v>
          </cell>
          <cell r="L71">
            <v>2448.23</v>
          </cell>
          <cell r="O71">
            <v>4835.3900000000003</v>
          </cell>
          <cell r="S71">
            <v>96</v>
          </cell>
          <cell r="T71">
            <v>2730.69</v>
          </cell>
          <cell r="W71">
            <v>5479.19</v>
          </cell>
          <cell r="AA71">
            <v>96</v>
          </cell>
        </row>
        <row r="72">
          <cell r="A72">
            <v>44044</v>
          </cell>
          <cell r="B72">
            <v>704.01</v>
          </cell>
          <cell r="F72">
            <v>1304.8599999999999</v>
          </cell>
          <cell r="J72">
            <v>47</v>
          </cell>
          <cell r="K72">
            <v>5877.46</v>
          </cell>
          <cell r="L72">
            <v>3440.81</v>
          </cell>
          <cell r="O72">
            <v>6307.9</v>
          </cell>
          <cell r="S72">
            <v>128</v>
          </cell>
          <cell r="T72">
            <v>187.26</v>
          </cell>
          <cell r="W72">
            <v>382.95</v>
          </cell>
          <cell r="AA72">
            <v>10</v>
          </cell>
        </row>
        <row r="73">
          <cell r="A73">
            <v>44075</v>
          </cell>
          <cell r="B73">
            <v>1425.12</v>
          </cell>
          <cell r="F73">
            <v>2740.61</v>
          </cell>
          <cell r="J73">
            <v>112</v>
          </cell>
          <cell r="K73">
            <v>6137.51</v>
          </cell>
          <cell r="L73">
            <v>1957.48</v>
          </cell>
          <cell r="O73">
            <v>4078.09</v>
          </cell>
          <cell r="S73">
            <v>65</v>
          </cell>
          <cell r="T73">
            <v>20.37</v>
          </cell>
          <cell r="W73">
            <v>42.44</v>
          </cell>
          <cell r="AA73">
            <v>3</v>
          </cell>
        </row>
        <row r="74">
          <cell r="A74">
            <v>44105</v>
          </cell>
          <cell r="B74">
            <v>6725.73</v>
          </cell>
          <cell r="F74">
            <v>12803.18</v>
          </cell>
          <cell r="J74">
            <v>398</v>
          </cell>
          <cell r="K74">
            <v>6080.76</v>
          </cell>
          <cell r="L74">
            <v>13069.43</v>
          </cell>
          <cell r="O74">
            <v>26614.78</v>
          </cell>
          <cell r="S74">
            <v>442</v>
          </cell>
          <cell r="T74">
            <v>10843.42</v>
          </cell>
          <cell r="W74">
            <v>23166.25</v>
          </cell>
          <cell r="AA74">
            <v>358</v>
          </cell>
        </row>
        <row r="75">
          <cell r="A75">
            <v>44136</v>
          </cell>
          <cell r="B75">
            <v>7668.39</v>
          </cell>
          <cell r="F75">
            <v>13955.38</v>
          </cell>
          <cell r="J75">
            <v>512</v>
          </cell>
          <cell r="K75">
            <v>5970.83</v>
          </cell>
          <cell r="L75">
            <v>11839.6</v>
          </cell>
          <cell r="O75">
            <v>23178.560000000001</v>
          </cell>
          <cell r="S75">
            <v>437</v>
          </cell>
          <cell r="T75">
            <v>11731.46</v>
          </cell>
          <cell r="W75">
            <v>23256.37</v>
          </cell>
          <cell r="AA75">
            <v>422</v>
          </cell>
        </row>
        <row r="76">
          <cell r="A76">
            <v>44166</v>
          </cell>
          <cell r="B76">
            <v>7963.51</v>
          </cell>
          <cell r="F76">
            <v>14139.26</v>
          </cell>
          <cell r="J76">
            <v>501</v>
          </cell>
          <cell r="K76">
            <v>5987.01</v>
          </cell>
          <cell r="L76">
            <v>13133.7</v>
          </cell>
          <cell r="O76">
            <v>26230.87</v>
          </cell>
          <cell r="S76">
            <v>416</v>
          </cell>
          <cell r="T76">
            <v>13833.36</v>
          </cell>
          <cell r="W76">
            <v>28202.73</v>
          </cell>
          <cell r="AA76">
            <v>463</v>
          </cell>
        </row>
      </sheetData>
      <sheetData sheetId="1">
        <row r="1">
          <cell r="Y1" t="str">
            <v>CONSUMO TÉRMICO ESPECÍFICO 
CORREGIDO (MBTU/MWh)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abSelected="1" zoomScale="85" zoomScaleNormal="85" workbookViewId="0">
      <pane xSplit="1" ySplit="1" topLeftCell="AD2" activePane="bottomRight" state="frozen"/>
      <selection pane="topRight" activeCell="B1" sqref="B1"/>
      <selection pane="bottomLeft" activeCell="A2" sqref="A2"/>
      <selection pane="bottomRight" activeCell="AJ10" sqref="AJ10"/>
    </sheetView>
  </sheetViews>
  <sheetFormatPr baseColWidth="10" defaultRowHeight="12.75" x14ac:dyDescent="0.2"/>
  <cols>
    <col min="1" max="1" width="13.140625" style="38" customWidth="1"/>
    <col min="2" max="2" width="11.7109375" bestFit="1" customWidth="1"/>
    <col min="3" max="3" width="11.85546875" bestFit="1" customWidth="1"/>
    <col min="4" max="4" width="11.42578125" customWidth="1"/>
    <col min="5" max="5" width="10.5703125" customWidth="1"/>
    <col min="6" max="6" width="26" customWidth="1"/>
    <col min="7" max="7" width="13.140625" customWidth="1"/>
    <col min="8" max="8" width="13.7109375" customWidth="1"/>
    <col min="9" max="11" width="13.7109375" style="42" customWidth="1"/>
    <col min="12" max="12" width="11.5703125" bestFit="1" customWidth="1"/>
    <col min="13" max="13" width="12.7109375" bestFit="1" customWidth="1"/>
    <col min="14" max="14" width="11.42578125" customWidth="1"/>
    <col min="15" max="15" width="13.85546875" customWidth="1"/>
    <col min="16" max="16" width="12.5703125" customWidth="1"/>
    <col min="17" max="17" width="14" customWidth="1"/>
    <col min="18" max="18" width="18" customWidth="1"/>
    <col min="19" max="19" width="12.7109375" bestFit="1" customWidth="1"/>
    <col min="20" max="20" width="13.140625" customWidth="1"/>
    <col min="21" max="21" width="10.5703125" style="115" customWidth="1"/>
    <col min="22" max="22" width="11.140625" style="115" customWidth="1"/>
    <col min="23" max="23" width="11.42578125" style="115" customWidth="1"/>
    <col min="24" max="24" width="7.42578125" customWidth="1"/>
    <col min="25" max="25" width="11.5703125" bestFit="1" customWidth="1"/>
    <col min="26" max="26" width="11.140625" bestFit="1" customWidth="1"/>
    <col min="27" max="27" width="11.5703125" bestFit="1" customWidth="1"/>
    <col min="29" max="29" width="20.5703125" customWidth="1"/>
    <col min="30" max="30" width="23.140625" customWidth="1"/>
    <col min="32" max="32" width="24.42578125" bestFit="1" customWidth="1"/>
    <col min="33" max="33" width="14.7109375" bestFit="1" customWidth="1"/>
    <col min="34" max="34" width="8.5703125" customWidth="1"/>
    <col min="35" max="35" width="13.28515625" customWidth="1"/>
    <col min="36" max="37" width="8.5703125" customWidth="1"/>
    <col min="38" max="42" width="15.7109375" style="38" customWidth="1"/>
    <col min="43" max="43" width="14.5703125" bestFit="1" customWidth="1"/>
  </cols>
  <sheetData>
    <row r="1" spans="1:43" s="5" customFormat="1" ht="51" x14ac:dyDescent="0.2">
      <c r="A1" s="137" t="s">
        <v>0</v>
      </c>
      <c r="B1" s="139" t="s">
        <v>1</v>
      </c>
      <c r="C1" s="140"/>
      <c r="D1" s="141"/>
      <c r="E1" s="142" t="s">
        <v>2</v>
      </c>
      <c r="F1" s="143"/>
      <c r="G1" s="144"/>
      <c r="H1" s="145" t="s">
        <v>3</v>
      </c>
      <c r="I1" s="147" t="s">
        <v>4</v>
      </c>
      <c r="J1" s="148"/>
      <c r="K1" s="148"/>
      <c r="L1" s="149" t="s">
        <v>5</v>
      </c>
      <c r="M1" s="150"/>
      <c r="N1" s="150"/>
      <c r="O1" s="157" t="s">
        <v>6</v>
      </c>
      <c r="P1" s="157"/>
      <c r="Q1" s="157"/>
      <c r="R1" s="158" t="s">
        <v>7</v>
      </c>
      <c r="S1" s="159"/>
      <c r="T1" s="159"/>
      <c r="U1" s="160" t="s">
        <v>8</v>
      </c>
      <c r="V1" s="161"/>
      <c r="W1" s="161"/>
      <c r="X1" s="162"/>
      <c r="Y1" s="149" t="s">
        <v>9</v>
      </c>
      <c r="Z1" s="150"/>
      <c r="AA1" s="150"/>
      <c r="AB1" s="1"/>
      <c r="AC1" s="2" t="s">
        <v>10</v>
      </c>
      <c r="AD1" s="3" t="s">
        <v>11</v>
      </c>
      <c r="AE1" s="1"/>
      <c r="AF1" s="4" t="s">
        <v>12</v>
      </c>
      <c r="AG1" s="4" t="s">
        <v>13</v>
      </c>
      <c r="AI1" s="130"/>
      <c r="AL1" s="133" t="s">
        <v>14</v>
      </c>
      <c r="AM1" s="133"/>
      <c r="AN1" s="133"/>
      <c r="AO1" s="133"/>
      <c r="AP1" s="6" t="s">
        <v>15</v>
      </c>
    </row>
    <row r="2" spans="1:43" s="5" customFormat="1" ht="25.5" x14ac:dyDescent="0.2">
      <c r="A2" s="138"/>
      <c r="B2" s="7" t="s">
        <v>16</v>
      </c>
      <c r="C2" s="7" t="s">
        <v>17</v>
      </c>
      <c r="D2" s="7" t="s">
        <v>18</v>
      </c>
      <c r="E2" s="8" t="s">
        <v>16</v>
      </c>
      <c r="F2" s="8" t="s">
        <v>17</v>
      </c>
      <c r="G2" s="8" t="s">
        <v>18</v>
      </c>
      <c r="H2" s="146"/>
      <c r="I2" s="9" t="s">
        <v>16</v>
      </c>
      <c r="J2" s="9" t="s">
        <v>17</v>
      </c>
      <c r="K2" s="9" t="s">
        <v>18</v>
      </c>
      <c r="L2" s="10" t="s">
        <v>16</v>
      </c>
      <c r="M2" s="10" t="s">
        <v>17</v>
      </c>
      <c r="N2" s="10" t="s">
        <v>18</v>
      </c>
      <c r="O2" s="11" t="s">
        <v>16</v>
      </c>
      <c r="P2" s="11" t="s">
        <v>17</v>
      </c>
      <c r="Q2" s="11" t="s">
        <v>18</v>
      </c>
      <c r="R2" s="12" t="s">
        <v>16</v>
      </c>
      <c r="S2" s="12" t="s">
        <v>17</v>
      </c>
      <c r="T2" s="12" t="s">
        <v>18</v>
      </c>
      <c r="U2" s="13" t="s">
        <v>16</v>
      </c>
      <c r="V2" s="13" t="s">
        <v>17</v>
      </c>
      <c r="W2" s="13" t="s">
        <v>18</v>
      </c>
      <c r="X2" s="14" t="s">
        <v>19</v>
      </c>
      <c r="Y2" s="10" t="s">
        <v>16</v>
      </c>
      <c r="Z2" s="10" t="s">
        <v>17</v>
      </c>
      <c r="AA2" s="10" t="s">
        <v>18</v>
      </c>
      <c r="AB2" s="11"/>
      <c r="AC2" s="15" t="s">
        <v>20</v>
      </c>
      <c r="AD2" s="15" t="s">
        <v>20</v>
      </c>
      <c r="AE2" s="11"/>
      <c r="AF2" s="16" t="s">
        <v>20</v>
      </c>
      <c r="AG2" s="16" t="s">
        <v>20</v>
      </c>
      <c r="AI2" s="131"/>
      <c r="AL2" s="17" t="s">
        <v>16</v>
      </c>
      <c r="AM2" s="17" t="s">
        <v>17</v>
      </c>
      <c r="AN2" s="17" t="s">
        <v>18</v>
      </c>
      <c r="AO2" s="17" t="s">
        <v>20</v>
      </c>
      <c r="AP2" s="18" t="s">
        <v>20</v>
      </c>
    </row>
    <row r="3" spans="1:43" x14ac:dyDescent="0.2">
      <c r="A3" s="19">
        <f>'[1]CONSUMO ENERGETICO'!A65</f>
        <v>43831</v>
      </c>
      <c r="B3" s="20">
        <f>'[1]CONSUMO ENERGETICO'!F65</f>
        <v>21297.09</v>
      </c>
      <c r="C3" s="20">
        <f>'[1]CONSUMO ENERGETICO'!O65</f>
        <v>50990.96</v>
      </c>
      <c r="D3" s="20">
        <f>'[1]CONSUMO ENERGETICO'!W65</f>
        <v>39823.81</v>
      </c>
      <c r="E3" s="21">
        <f>'[1]CONSUMO ENERGETICO'!B65</f>
        <v>11870.23</v>
      </c>
      <c r="F3" s="21">
        <f>'[1]CONSUMO ENERGETICO'!L65</f>
        <v>24809.78</v>
      </c>
      <c r="G3" s="21">
        <f>'[1]CONSUMO ENERGETICO'!T65</f>
        <v>19621.990000000002</v>
      </c>
      <c r="H3" s="22">
        <f>'[1]CONSUMO ENERGETICO'!K65</f>
        <v>6057.2015459332861</v>
      </c>
      <c r="I3" s="23">
        <f>+E3*H3*3.97/1000</f>
        <v>285444.4907611371</v>
      </c>
      <c r="J3" s="23">
        <f>+F3*H3*3.97/1000</f>
        <v>596603.015947951</v>
      </c>
      <c r="K3" s="23">
        <f>+G3*H3*3.97/1000</f>
        <v>471851.76220428135</v>
      </c>
      <c r="L3" s="24">
        <f>+I3/B3</f>
        <v>13.402980912469125</v>
      </c>
      <c r="M3" s="24">
        <f t="shared" ref="M3:N14" si="0">+J3/C3</f>
        <v>11.70017226480833</v>
      </c>
      <c r="N3" s="24">
        <f t="shared" si="0"/>
        <v>11.848483663523941</v>
      </c>
      <c r="O3" s="25">
        <f>+'[1]CONSUMO ENERGETICO'!J65</f>
        <v>651</v>
      </c>
      <c r="P3" s="25">
        <f>+'[1]CONSUMO ENERGETICO'!S65</f>
        <v>744</v>
      </c>
      <c r="Q3" s="25">
        <f>+'[1]CONSUMO ENERGETICO'!AA65</f>
        <v>682</v>
      </c>
      <c r="R3" s="26">
        <f t="shared" ref="R3:T14" si="1">+B3/O3</f>
        <v>32.71442396313364</v>
      </c>
      <c r="S3" s="26">
        <f t="shared" si="1"/>
        <v>68.53623655913978</v>
      </c>
      <c r="T3" s="26">
        <f t="shared" si="1"/>
        <v>58.392683284457476</v>
      </c>
      <c r="U3" s="27">
        <v>36</v>
      </c>
      <c r="V3" s="25">
        <v>72</v>
      </c>
      <c r="W3" s="25">
        <v>70</v>
      </c>
      <c r="X3" s="27">
        <f t="shared" ref="X3:X14" si="2">+U3+V3+W3</f>
        <v>178</v>
      </c>
      <c r="Y3" s="28">
        <f t="shared" ref="Y3:Y14" si="3">L3-(U3-R3)*0.0361</f>
        <v>13.28437161753825</v>
      </c>
      <c r="Z3" s="28">
        <f t="shared" ref="Z3:Z14" si="4">M3-(V3-S3)*0.0227</f>
        <v>11.621544834700803</v>
      </c>
      <c r="AA3" s="28">
        <f t="shared" ref="AA3:AA14" si="5">N3-(W3-T3)*0.0199</f>
        <v>11.617498060884646</v>
      </c>
      <c r="AB3" s="25"/>
      <c r="AC3" s="29">
        <f>L3*(U3/X3)+M3*(V3/X3)+N3*(W3/X3)</f>
        <v>12.10288523798744</v>
      </c>
      <c r="AD3" s="29">
        <f t="shared" ref="AD3:AD14" si="6">3.41214/AC3*100</f>
        <v>28.19278157980284</v>
      </c>
      <c r="AE3" s="25"/>
      <c r="AF3" s="30">
        <f t="shared" ref="AF3:AF14" si="7">+Y3*(U3/X3)+Z3*(V3/X3)+AA3*(W3/X3)</f>
        <v>11.956255452762697</v>
      </c>
      <c r="AG3" s="30">
        <f t="shared" ref="AG3:AG14" si="8">3.41214/AF3*100</f>
        <v>28.538533769881663</v>
      </c>
      <c r="AI3" s="31"/>
      <c r="AL3" s="32">
        <v>12.5398</v>
      </c>
      <c r="AM3" s="32">
        <v>11.514200000000001</v>
      </c>
      <c r="AN3" s="32">
        <v>11.688599999999999</v>
      </c>
      <c r="AO3" s="32">
        <v>11.7902</v>
      </c>
      <c r="AP3" s="33">
        <v>28.94</v>
      </c>
    </row>
    <row r="4" spans="1:43" x14ac:dyDescent="0.2">
      <c r="A4" s="19">
        <f>'[1]CONSUMO ENERGETICO'!A66</f>
        <v>43862</v>
      </c>
      <c r="B4" s="20">
        <f>'[1]CONSUMO ENERGETICO'!F66</f>
        <v>17093.5</v>
      </c>
      <c r="C4" s="20">
        <f>'[1]CONSUMO ENERGETICO'!O66</f>
        <v>47995.49</v>
      </c>
      <c r="D4" s="20">
        <f>'[1]CONSUMO ENERGETICO'!W66</f>
        <v>37921.08</v>
      </c>
      <c r="E4" s="21">
        <f>'[1]CONSUMO ENERGETICO'!B66</f>
        <v>9014.39</v>
      </c>
      <c r="F4" s="21">
        <f>'[1]CONSUMO ENERGETICO'!L66</f>
        <v>22798.03</v>
      </c>
      <c r="G4" s="21">
        <f>'[1]CONSUMO ENERGETICO'!T66</f>
        <v>17611.03</v>
      </c>
      <c r="H4" s="34">
        <f>'[1]CONSUMO ENERGETICO'!K66</f>
        <v>6096.32</v>
      </c>
      <c r="I4" s="23">
        <f t="shared" ref="I4:I14" si="9">+E4*H4*3.97/1000</f>
        <v>218169.78599785597</v>
      </c>
      <c r="J4" s="23">
        <f t="shared" ref="J4:J14" si="10">+F4*H4*3.97/1000</f>
        <v>551766.82241091202</v>
      </c>
      <c r="K4" s="23">
        <f t="shared" ref="K4:K14" si="11">+G4*H4*3.97/1000</f>
        <v>426229.02340611198</v>
      </c>
      <c r="L4" s="24">
        <f t="shared" ref="L4:L14" si="12">+I4/B4</f>
        <v>12.763318571261355</v>
      </c>
      <c r="M4" s="24">
        <f t="shared" si="0"/>
        <v>11.496222299447552</v>
      </c>
      <c r="N4" s="24">
        <f t="shared" si="0"/>
        <v>11.239896738334245</v>
      </c>
      <c r="O4" s="25">
        <f>+'[1]CONSUMO ENERGETICO'!J66</f>
        <v>495</v>
      </c>
      <c r="P4" s="25">
        <f>+'[1]CONSUMO ENERGETICO'!S66</f>
        <v>695</v>
      </c>
      <c r="Q4" s="25">
        <f>+'[1]CONSUMO ENERGETICO'!AA66</f>
        <v>645</v>
      </c>
      <c r="R4" s="26">
        <f t="shared" si="1"/>
        <v>34.532323232323229</v>
      </c>
      <c r="S4" s="26">
        <f t="shared" si="1"/>
        <v>69.058258992805747</v>
      </c>
      <c r="T4" s="26">
        <f t="shared" si="1"/>
        <v>58.792372093023261</v>
      </c>
      <c r="U4" s="27">
        <v>36</v>
      </c>
      <c r="V4" s="25">
        <v>72</v>
      </c>
      <c r="W4" s="25">
        <v>70</v>
      </c>
      <c r="X4" s="27">
        <f t="shared" si="2"/>
        <v>178</v>
      </c>
      <c r="Y4" s="28">
        <f t="shared" si="3"/>
        <v>12.710335439948222</v>
      </c>
      <c r="Z4" s="28">
        <f t="shared" si="4"/>
        <v>11.429444778584243</v>
      </c>
      <c r="AA4" s="28">
        <f t="shared" si="5"/>
        <v>11.016864942985409</v>
      </c>
      <c r="AB4" s="25"/>
      <c r="AC4" s="29">
        <f t="shared" ref="AC4:AC14" si="13">L4*(U4/X4)+M4*(V4/X4)+N4*(W4/X4)</f>
        <v>11.651686774208031</v>
      </c>
      <c r="AD4" s="29">
        <f t="shared" si="6"/>
        <v>29.284515333462728</v>
      </c>
      <c r="AE4" s="25"/>
      <c r="AF4" s="30">
        <f t="shared" si="7"/>
        <v>11.526250819692022</v>
      </c>
      <c r="AG4" s="30">
        <f t="shared" si="8"/>
        <v>29.603207958745177</v>
      </c>
      <c r="AI4" s="31"/>
      <c r="AL4" s="35">
        <f>3.41214/AL3</f>
        <v>0.27210481825866439</v>
      </c>
      <c r="AM4" s="35">
        <f t="shared" ref="AM4:AN4" si="14">3.41214/AM3</f>
        <v>0.29634190825241874</v>
      </c>
      <c r="AN4" s="35">
        <f t="shared" si="14"/>
        <v>0.29192033263179512</v>
      </c>
      <c r="AO4" s="35">
        <f>3.41214/AO3</f>
        <v>0.28940475988532849</v>
      </c>
      <c r="AP4" s="36"/>
    </row>
    <row r="5" spans="1:43" x14ac:dyDescent="0.2">
      <c r="A5" s="19">
        <f>'[1]CONSUMO ENERGETICO'!A67</f>
        <v>43891</v>
      </c>
      <c r="B5" s="20">
        <f>'[1]CONSUMO ENERGETICO'!F67</f>
        <v>25358.880000000001</v>
      </c>
      <c r="C5" s="20">
        <f>'[1]CONSUMO ENERGETICO'!O67</f>
        <v>44762.26</v>
      </c>
      <c r="D5" s="20">
        <f>'[1]CONSUMO ENERGETICO'!W67</f>
        <v>49436.89</v>
      </c>
      <c r="E5" s="21">
        <f>'[1]CONSUMO ENERGETICO'!B67</f>
        <v>13638.56</v>
      </c>
      <c r="F5" s="21">
        <f>'[1]CONSUMO ENERGETICO'!L67</f>
        <v>21628.37</v>
      </c>
      <c r="G5" s="21">
        <f>'[1]CONSUMO ENERGETICO'!T67</f>
        <v>23527.03</v>
      </c>
      <c r="H5" s="34">
        <f>'[1]CONSUMO ENERGETICO'!K67</f>
        <v>5907.93</v>
      </c>
      <c r="I5" s="23">
        <f t="shared" si="9"/>
        <v>319885.36138977599</v>
      </c>
      <c r="J5" s="23">
        <f t="shared" si="10"/>
        <v>507282.21701717697</v>
      </c>
      <c r="K5" s="23">
        <f t="shared" si="11"/>
        <v>551814.30400116299</v>
      </c>
      <c r="L5" s="24">
        <f t="shared" si="12"/>
        <v>12.614333179926557</v>
      </c>
      <c r="M5" s="24">
        <f t="shared" si="0"/>
        <v>11.332810653822595</v>
      </c>
      <c r="N5" s="24">
        <f t="shared" si="0"/>
        <v>11.161994696696395</v>
      </c>
      <c r="O5" s="25">
        <f>+'[1]CONSUMO ENERGETICO'!J67</f>
        <v>742</v>
      </c>
      <c r="P5" s="25">
        <f>+'[1]CONSUMO ENERGETICO'!S67</f>
        <v>662</v>
      </c>
      <c r="Q5" s="25">
        <f>+'[1]CONSUMO ENERGETICO'!AA67</f>
        <v>744</v>
      </c>
      <c r="R5" s="26">
        <f t="shared" si="1"/>
        <v>34.176388140161727</v>
      </c>
      <c r="S5" s="26">
        <f t="shared" si="1"/>
        <v>67.616706948640484</v>
      </c>
      <c r="T5" s="26">
        <f t="shared" si="1"/>
        <v>66.44743279569893</v>
      </c>
      <c r="U5" s="27">
        <v>36</v>
      </c>
      <c r="V5" s="25">
        <v>72</v>
      </c>
      <c r="W5" s="25">
        <v>70</v>
      </c>
      <c r="X5" s="27">
        <f t="shared" si="2"/>
        <v>178</v>
      </c>
      <c r="Y5" s="28">
        <f t="shared" si="3"/>
        <v>12.548500791786395</v>
      </c>
      <c r="Z5" s="28">
        <f t="shared" si="4"/>
        <v>11.233309901556733</v>
      </c>
      <c r="AA5" s="28">
        <f t="shared" si="5"/>
        <v>11.091298609330803</v>
      </c>
      <c r="AB5" s="25"/>
      <c r="AC5" s="29">
        <f t="shared" si="13"/>
        <v>11.524820170344555</v>
      </c>
      <c r="AD5" s="29">
        <f t="shared" si="6"/>
        <v>29.606882793538531</v>
      </c>
      <c r="AE5" s="25"/>
      <c r="AF5" s="30">
        <f t="shared" si="7"/>
        <v>11.443456427357031</v>
      </c>
      <c r="AG5" s="30">
        <f t="shared" si="8"/>
        <v>29.817389716649313</v>
      </c>
      <c r="AI5" s="31"/>
      <c r="AL5" s="37"/>
    </row>
    <row r="6" spans="1:43" x14ac:dyDescent="0.2">
      <c r="A6" s="19">
        <f>'[1]CONSUMO ENERGETICO'!A68</f>
        <v>43922</v>
      </c>
      <c r="B6" s="20">
        <f>'[1]CONSUMO ENERGETICO'!F68</f>
        <v>20207.919999999998</v>
      </c>
      <c r="C6" s="20">
        <f>'[1]CONSUMO ENERGETICO'!O68</f>
        <v>42142.52</v>
      </c>
      <c r="D6" s="20">
        <f>'[1]CONSUMO ENERGETICO'!W68</f>
        <v>41012.68</v>
      </c>
      <c r="E6" s="21">
        <f>'[1]CONSUMO ENERGETICO'!B68</f>
        <v>10924.57</v>
      </c>
      <c r="F6" s="21">
        <f>'[1]CONSUMO ENERGETICO'!L68</f>
        <v>20177.14</v>
      </c>
      <c r="G6" s="21">
        <f>'[1]CONSUMO ENERGETICO'!T68</f>
        <v>19494.689999999999</v>
      </c>
      <c r="H6" s="34">
        <f>'[1]CONSUMO ENERGETICO'!K68</f>
        <v>5960.14</v>
      </c>
      <c r="I6" s="23">
        <f t="shared" si="9"/>
        <v>258494.50756000602</v>
      </c>
      <c r="J6" s="23">
        <f t="shared" si="10"/>
        <v>477426.55942241201</v>
      </c>
      <c r="K6" s="23">
        <f t="shared" si="11"/>
        <v>461278.59417670203</v>
      </c>
      <c r="L6" s="24">
        <f t="shared" si="12"/>
        <v>12.791742423762864</v>
      </c>
      <c r="M6" s="24">
        <f t="shared" si="0"/>
        <v>11.328856447654578</v>
      </c>
      <c r="N6" s="24">
        <f t="shared" si="0"/>
        <v>11.247219010723075</v>
      </c>
      <c r="O6" s="25">
        <f>+'[1]CONSUMO ENERGETICO'!J68</f>
        <v>637</v>
      </c>
      <c r="P6" s="25">
        <f>+'[1]CONSUMO ENERGETICO'!S68</f>
        <v>640</v>
      </c>
      <c r="Q6" s="25">
        <f>+'[1]CONSUMO ENERGETICO'!AA68</f>
        <v>634</v>
      </c>
      <c r="R6" s="26">
        <f t="shared" si="1"/>
        <v>31.723579277864989</v>
      </c>
      <c r="S6" s="26">
        <f t="shared" si="1"/>
        <v>65.847687499999992</v>
      </c>
      <c r="T6" s="26">
        <f t="shared" si="1"/>
        <v>64.688769716088331</v>
      </c>
      <c r="U6" s="27">
        <v>36</v>
      </c>
      <c r="V6" s="25">
        <v>72</v>
      </c>
      <c r="W6" s="25">
        <v>70</v>
      </c>
      <c r="X6" s="27">
        <f t="shared" si="2"/>
        <v>178</v>
      </c>
      <c r="Y6" s="28">
        <f t="shared" si="3"/>
        <v>12.63736363569379</v>
      </c>
      <c r="Z6" s="28">
        <f t="shared" si="4"/>
        <v>11.189198953904578</v>
      </c>
      <c r="AA6" s="28">
        <f t="shared" si="5"/>
        <v>11.141525528073233</v>
      </c>
      <c r="AB6" s="25"/>
      <c r="AC6" s="29">
        <f t="shared" si="13"/>
        <v>11.592616417062967</v>
      </c>
      <c r="AD6" s="29">
        <f t="shared" si="6"/>
        <v>29.433735036533527</v>
      </c>
      <c r="AE6" s="25"/>
      <c r="AF6" s="30">
        <f t="shared" si="7"/>
        <v>11.463338216467598</v>
      </c>
      <c r="AG6" s="30">
        <f t="shared" si="8"/>
        <v>29.765675020373283</v>
      </c>
      <c r="AI6" s="31"/>
      <c r="AL6" s="43"/>
      <c r="AM6" s="43"/>
      <c r="AN6" s="43"/>
      <c r="AO6" s="43"/>
      <c r="AP6" s="132"/>
    </row>
    <row r="7" spans="1:43" x14ac:dyDescent="0.2">
      <c r="A7" s="19">
        <f>'[1]CONSUMO ENERGETICO'!A69</f>
        <v>43952</v>
      </c>
      <c r="B7" s="20">
        <f>'[1]CONSUMO ENERGETICO'!F69</f>
        <v>23455.59</v>
      </c>
      <c r="C7" s="20">
        <f>'[1]CONSUMO ENERGETICO'!O69</f>
        <v>44078.07</v>
      </c>
      <c r="D7" s="20">
        <f>'[1]CONSUMO ENERGETICO'!W69</f>
        <v>42992.82</v>
      </c>
      <c r="E7" s="21">
        <f>'[1]CONSUMO ENERGETICO'!B69</f>
        <v>13012.54</v>
      </c>
      <c r="F7" s="21">
        <f>'[1]CONSUMO ENERGETICO'!L69</f>
        <v>21308.3</v>
      </c>
      <c r="G7" s="21">
        <f>'[1]CONSUMO ENERGETICO'!T69</f>
        <v>20740.73</v>
      </c>
      <c r="H7" s="34">
        <f>'[1]CONSUMO ENERGETICO'!K69</f>
        <v>5884.77</v>
      </c>
      <c r="I7" s="23">
        <f t="shared" si="9"/>
        <v>304005.94591272605</v>
      </c>
      <c r="J7" s="23">
        <f t="shared" si="10"/>
        <v>497815.94502627006</v>
      </c>
      <c r="K7" s="23">
        <f t="shared" si="11"/>
        <v>484556.06995793706</v>
      </c>
      <c r="L7" s="24">
        <f t="shared" si="12"/>
        <v>12.960916605070521</v>
      </c>
      <c r="M7" s="24">
        <f t="shared" si="0"/>
        <v>11.293959672605222</v>
      </c>
      <c r="N7" s="24">
        <f t="shared" si="0"/>
        <v>11.270627745701191</v>
      </c>
      <c r="O7" s="25">
        <f>+'[1]CONSUMO ENERGETICO'!J69</f>
        <v>689</v>
      </c>
      <c r="P7" s="25">
        <f>+'[1]CONSUMO ENERGETICO'!S69</f>
        <v>655</v>
      </c>
      <c r="Q7" s="25">
        <f>+'[1]CONSUMO ENERGETICO'!AA69</f>
        <v>656</v>
      </c>
      <c r="R7" s="26">
        <f t="shared" si="1"/>
        <v>34.042946298984035</v>
      </c>
      <c r="S7" s="26">
        <f t="shared" si="1"/>
        <v>67.294763358778624</v>
      </c>
      <c r="T7" s="26">
        <f t="shared" si="1"/>
        <v>65.537835365853653</v>
      </c>
      <c r="U7" s="27">
        <v>36</v>
      </c>
      <c r="V7" s="25">
        <v>72</v>
      </c>
      <c r="W7" s="25">
        <v>70</v>
      </c>
      <c r="X7" s="27">
        <f t="shared" si="2"/>
        <v>178</v>
      </c>
      <c r="Y7" s="28">
        <f t="shared" si="3"/>
        <v>12.890266966463845</v>
      </c>
      <c r="Z7" s="28">
        <f t="shared" si="4"/>
        <v>11.187150800849498</v>
      </c>
      <c r="AA7" s="28">
        <f t="shared" si="5"/>
        <v>11.181830669481679</v>
      </c>
      <c r="AB7" s="25"/>
      <c r="AC7" s="29">
        <f t="shared" si="13"/>
        <v>11.621921552860663</v>
      </c>
      <c r="AD7" s="29">
        <f t="shared" si="6"/>
        <v>29.359516707115642</v>
      </c>
      <c r="AE7" s="25"/>
      <c r="AF7" s="30">
        <f t="shared" si="7"/>
        <v>11.529509074817863</v>
      </c>
      <c r="AG7" s="30">
        <f t="shared" si="8"/>
        <v>29.594842051450517</v>
      </c>
      <c r="AI7" s="31"/>
      <c r="AL7" s="43"/>
      <c r="AM7" s="43"/>
      <c r="AN7" s="43"/>
      <c r="AO7" s="43"/>
      <c r="AP7" s="132"/>
      <c r="AQ7" s="39"/>
    </row>
    <row r="8" spans="1:43" x14ac:dyDescent="0.2">
      <c r="A8" s="19">
        <f>'[1]CONSUMO ENERGETICO'!A70</f>
        <v>43983</v>
      </c>
      <c r="B8" s="20">
        <f>'[1]CONSUMO ENERGETICO'!F70</f>
        <v>402.19</v>
      </c>
      <c r="C8" s="20">
        <f>'[1]CONSUMO ENERGETICO'!O70</f>
        <v>42416.97</v>
      </c>
      <c r="D8" s="20">
        <f>'[1]CONSUMO ENERGETICO'!W70</f>
        <v>44237.120000000003</v>
      </c>
      <c r="E8" s="21">
        <f>'[1]CONSUMO ENERGETICO'!B70</f>
        <v>213.16</v>
      </c>
      <c r="F8" s="21">
        <f>'[1]CONSUMO ENERGETICO'!L70</f>
        <v>20974.48</v>
      </c>
      <c r="G8" s="21">
        <f>'[1]CONSUMO ENERGETICO'!T70</f>
        <v>21263.94</v>
      </c>
      <c r="H8" s="34">
        <f>'[1]CONSUMO ENERGETICO'!K70</f>
        <v>5974.02</v>
      </c>
      <c r="I8" s="23">
        <f t="shared" si="9"/>
        <v>5055.4857497040002</v>
      </c>
      <c r="J8" s="23">
        <f t="shared" si="10"/>
        <v>497448.79314811208</v>
      </c>
      <c r="K8" s="23">
        <f t="shared" si="11"/>
        <v>504313.87527003605</v>
      </c>
      <c r="L8" s="24">
        <f t="shared" si="12"/>
        <v>12.569894203495862</v>
      </c>
      <c r="M8" s="24">
        <f t="shared" si="0"/>
        <v>11.727589055703698</v>
      </c>
      <c r="N8" s="24">
        <f t="shared" si="0"/>
        <v>11.400242042656394</v>
      </c>
      <c r="O8" s="25">
        <f>+'[1]CONSUMO ENERGETICO'!J70</f>
        <v>16</v>
      </c>
      <c r="P8" s="25">
        <f>+'[1]CONSUMO ENERGETICO'!S70</f>
        <v>648</v>
      </c>
      <c r="Q8" s="25">
        <f>+'[1]CONSUMO ENERGETICO'!AA70</f>
        <v>666</v>
      </c>
      <c r="R8" s="26">
        <f t="shared" si="1"/>
        <v>25.136875</v>
      </c>
      <c r="S8" s="26">
        <f t="shared" si="1"/>
        <v>65.458287037037039</v>
      </c>
      <c r="T8" s="26">
        <f t="shared" si="1"/>
        <v>66.422102102102102</v>
      </c>
      <c r="U8" s="27">
        <v>36</v>
      </c>
      <c r="V8" s="25">
        <v>72</v>
      </c>
      <c r="W8" s="25">
        <v>70</v>
      </c>
      <c r="X8" s="27">
        <f t="shared" si="2"/>
        <v>178</v>
      </c>
      <c r="Y8" s="28">
        <f t="shared" si="3"/>
        <v>12.177735390995862</v>
      </c>
      <c r="Z8" s="28">
        <f t="shared" si="4"/>
        <v>11.579092171444438</v>
      </c>
      <c r="AA8" s="28">
        <f t="shared" si="5"/>
        <v>11.329041874488226</v>
      </c>
      <c r="AB8" s="25"/>
      <c r="AC8" s="29">
        <f t="shared" si="13"/>
        <v>11.76921093439587</v>
      </c>
      <c r="AD8" s="29">
        <f t="shared" si="6"/>
        <v>28.992088076422519</v>
      </c>
      <c r="AE8" s="25"/>
      <c r="AF8" s="30">
        <f t="shared" si="7"/>
        <v>11.601831694573182</v>
      </c>
      <c r="AG8" s="30">
        <f t="shared" si="8"/>
        <v>29.410355966429393</v>
      </c>
      <c r="AI8" s="31"/>
      <c r="AL8" s="43"/>
      <c r="AM8" s="43"/>
      <c r="AN8" s="43"/>
      <c r="AO8" s="43"/>
      <c r="AP8" s="132"/>
    </row>
    <row r="9" spans="1:43" x14ac:dyDescent="0.2">
      <c r="A9" s="19">
        <f>'[1]CONSUMO ENERGETICO'!A71</f>
        <v>44013</v>
      </c>
      <c r="B9" s="20">
        <f>'[1]CONSUMO ENERGETICO'!F71</f>
        <v>3324.36</v>
      </c>
      <c r="C9" s="20">
        <f>'[1]CONSUMO ENERGETICO'!O71</f>
        <v>4835.3900000000003</v>
      </c>
      <c r="D9" s="20">
        <f>'[1]CONSUMO ENERGETICO'!W71</f>
        <v>5479.19</v>
      </c>
      <c r="E9" s="21">
        <f>'[1]CONSUMO ENERGETICO'!B71</f>
        <v>1994.33</v>
      </c>
      <c r="F9" s="21">
        <f>'[1]CONSUMO ENERGETICO'!L71</f>
        <v>2448.23</v>
      </c>
      <c r="G9" s="21">
        <f>'[1]CONSUMO ENERGETICO'!T71</f>
        <v>2730.69</v>
      </c>
      <c r="H9" s="34">
        <f>'[1]CONSUMO ENERGETICO'!K71</f>
        <v>6246.74</v>
      </c>
      <c r="I9" s="23">
        <f t="shared" si="9"/>
        <v>49458.502107273998</v>
      </c>
      <c r="J9" s="23">
        <f t="shared" si="10"/>
        <v>60715.021392693998</v>
      </c>
      <c r="K9" s="23">
        <f t="shared" si="11"/>
        <v>67719.904488881992</v>
      </c>
      <c r="L9" s="24">
        <f t="shared" si="12"/>
        <v>14.877601134436102</v>
      </c>
      <c r="M9" s="24">
        <f t="shared" si="0"/>
        <v>12.556385605441132</v>
      </c>
      <c r="N9" s="24">
        <f t="shared" si="0"/>
        <v>12.359473661048805</v>
      </c>
      <c r="O9" s="25">
        <f>+'[1]CONSUMO ENERGETICO'!J71</f>
        <v>120</v>
      </c>
      <c r="P9" s="25">
        <f>+'[1]CONSUMO ENERGETICO'!S71</f>
        <v>96</v>
      </c>
      <c r="Q9" s="25">
        <f>+'[1]CONSUMO ENERGETICO'!AA71</f>
        <v>96</v>
      </c>
      <c r="R9" s="26">
        <f t="shared" si="1"/>
        <v>27.702999999999999</v>
      </c>
      <c r="S9" s="26">
        <f t="shared" si="1"/>
        <v>50.368645833333339</v>
      </c>
      <c r="T9" s="26">
        <f t="shared" si="1"/>
        <v>57.074895833333329</v>
      </c>
      <c r="U9" s="27">
        <v>36</v>
      </c>
      <c r="V9" s="25">
        <v>72</v>
      </c>
      <c r="W9" s="25">
        <v>70</v>
      </c>
      <c r="X9" s="27">
        <f t="shared" si="2"/>
        <v>178</v>
      </c>
      <c r="Y9" s="28">
        <f t="shared" si="3"/>
        <v>14.578079434436102</v>
      </c>
      <c r="Z9" s="28">
        <f t="shared" si="4"/>
        <v>12.0653538658578</v>
      </c>
      <c r="AA9" s="28">
        <f t="shared" si="5"/>
        <v>12.102264088132138</v>
      </c>
      <c r="AB9" s="25"/>
      <c r="AC9" s="29">
        <f t="shared" si="13"/>
        <v>12.948407644409425</v>
      </c>
      <c r="AD9" s="29">
        <f t="shared" si="6"/>
        <v>26.351811695341688</v>
      </c>
      <c r="AE9" s="25"/>
      <c r="AF9" s="30">
        <f t="shared" si="7"/>
        <v>12.588060809835454</v>
      </c>
      <c r="AG9" s="30">
        <f t="shared" si="8"/>
        <v>27.106160762537673</v>
      </c>
      <c r="AI9" s="31"/>
      <c r="AL9" s="43"/>
      <c r="AM9" s="43"/>
      <c r="AN9" s="43"/>
      <c r="AO9" s="43"/>
      <c r="AP9" s="132"/>
    </row>
    <row r="10" spans="1:43" x14ac:dyDescent="0.2">
      <c r="A10" s="19">
        <f>'[1]CONSUMO ENERGETICO'!A72</f>
        <v>44044</v>
      </c>
      <c r="B10" s="20">
        <f>'[1]CONSUMO ENERGETICO'!F72</f>
        <v>1304.8599999999999</v>
      </c>
      <c r="C10" s="20">
        <f>'[1]CONSUMO ENERGETICO'!O72</f>
        <v>6307.9</v>
      </c>
      <c r="D10" s="20">
        <f>'[1]CONSUMO ENERGETICO'!W72</f>
        <v>382.95</v>
      </c>
      <c r="E10" s="21">
        <f>'[1]CONSUMO ENERGETICO'!B72</f>
        <v>704.01</v>
      </c>
      <c r="F10" s="21">
        <f>'[1]CONSUMO ENERGETICO'!L72</f>
        <v>3440.81</v>
      </c>
      <c r="G10" s="21">
        <f>'[1]CONSUMO ENERGETICO'!T72</f>
        <v>187.26</v>
      </c>
      <c r="H10" s="34">
        <f>'[1]CONSUMO ENERGETICO'!K72</f>
        <v>5877.46</v>
      </c>
      <c r="I10" s="23">
        <f t="shared" si="9"/>
        <v>16427.028739961999</v>
      </c>
      <c r="J10" s="23">
        <f t="shared" si="10"/>
        <v>80286.195876122001</v>
      </c>
      <c r="K10" s="23">
        <f t="shared" si="11"/>
        <v>4369.4342436119996</v>
      </c>
      <c r="L10" s="24">
        <f t="shared" si="12"/>
        <v>12.589112042642123</v>
      </c>
      <c r="M10" s="24">
        <f t="shared" si="0"/>
        <v>12.727880257474279</v>
      </c>
      <c r="N10" s="24">
        <f t="shared" si="0"/>
        <v>11.409934047818252</v>
      </c>
      <c r="O10" s="25">
        <f>+'[1]CONSUMO ENERGETICO'!J72</f>
        <v>47</v>
      </c>
      <c r="P10" s="25">
        <f>+'[1]CONSUMO ENERGETICO'!S72</f>
        <v>128</v>
      </c>
      <c r="Q10" s="25">
        <f>+'[1]CONSUMO ENERGETICO'!AA72</f>
        <v>10</v>
      </c>
      <c r="R10" s="26">
        <f t="shared" si="1"/>
        <v>27.762978723404252</v>
      </c>
      <c r="S10" s="26">
        <f t="shared" si="1"/>
        <v>49.280468749999997</v>
      </c>
      <c r="T10" s="26">
        <f t="shared" si="1"/>
        <v>38.295000000000002</v>
      </c>
      <c r="U10" s="27">
        <v>36</v>
      </c>
      <c r="V10" s="25">
        <v>72</v>
      </c>
      <c r="W10" s="25">
        <v>70</v>
      </c>
      <c r="X10" s="27">
        <f t="shared" si="2"/>
        <v>178</v>
      </c>
      <c r="Y10" s="28">
        <f t="shared" si="3"/>
        <v>12.291755574557016</v>
      </c>
      <c r="Z10" s="28">
        <f t="shared" si="4"/>
        <v>12.212146898099279</v>
      </c>
      <c r="AA10" s="28">
        <f t="shared" si="5"/>
        <v>10.779004547818252</v>
      </c>
      <c r="AB10" s="25"/>
      <c r="AC10" s="29">
        <f t="shared" si="13"/>
        <v>12.181521322587315</v>
      </c>
      <c r="AD10" s="29">
        <f t="shared" si="6"/>
        <v>28.010787073640099</v>
      </c>
      <c r="AE10" s="25"/>
      <c r="AF10" s="30">
        <f t="shared" si="7"/>
        <v>11.664652223002687</v>
      </c>
      <c r="AG10" s="30">
        <f t="shared" si="8"/>
        <v>29.251965123068668</v>
      </c>
      <c r="AI10" s="31"/>
      <c r="AL10" s="46"/>
      <c r="AM10" s="46"/>
      <c r="AN10" s="46"/>
      <c r="AO10" s="46"/>
      <c r="AP10" s="46"/>
    </row>
    <row r="11" spans="1:43" s="38" customFormat="1" x14ac:dyDescent="0.2">
      <c r="A11" s="19">
        <f>'[1]CONSUMO ENERGETICO'!A73</f>
        <v>44075</v>
      </c>
      <c r="B11" s="20">
        <f>'[1]CONSUMO ENERGETICO'!F73</f>
        <v>2740.61</v>
      </c>
      <c r="C11" s="20">
        <f>'[1]CONSUMO ENERGETICO'!O73</f>
        <v>4078.09</v>
      </c>
      <c r="D11" s="20">
        <f>'[1]CONSUMO ENERGETICO'!W73</f>
        <v>42.44</v>
      </c>
      <c r="E11" s="21">
        <f>'[1]CONSUMO ENERGETICO'!B73</f>
        <v>1425.12</v>
      </c>
      <c r="F11" s="21">
        <f>'[1]CONSUMO ENERGETICO'!L73</f>
        <v>1957.48</v>
      </c>
      <c r="G11" s="21">
        <f>'[1]CONSUMO ENERGETICO'!T73</f>
        <v>20.37</v>
      </c>
      <c r="H11" s="34">
        <f>'[1]CONSUMO ENERGETICO'!K73</f>
        <v>6137.51</v>
      </c>
      <c r="I11" s="23">
        <f t="shared" si="9"/>
        <v>34724.352357264004</v>
      </c>
      <c r="J11" s="23">
        <f t="shared" si="10"/>
        <v>47695.79070695601</v>
      </c>
      <c r="K11" s="23">
        <f t="shared" si="11"/>
        <v>496.33368243900003</v>
      </c>
      <c r="L11" s="24">
        <f t="shared" si="12"/>
        <v>12.670300537932796</v>
      </c>
      <c r="M11" s="24">
        <f t="shared" si="0"/>
        <v>11.695619936528132</v>
      </c>
      <c r="N11" s="24">
        <f t="shared" si="0"/>
        <v>11.694950104594723</v>
      </c>
      <c r="O11" s="25">
        <f>+'[1]CONSUMO ENERGETICO'!J73</f>
        <v>112</v>
      </c>
      <c r="P11" s="25">
        <f>+'[1]CONSUMO ENERGETICO'!S73</f>
        <v>65</v>
      </c>
      <c r="Q11" s="25">
        <f>+'[1]CONSUMO ENERGETICO'!AA73</f>
        <v>3</v>
      </c>
      <c r="R11" s="26">
        <f t="shared" si="1"/>
        <v>24.469732142857143</v>
      </c>
      <c r="S11" s="26">
        <f t="shared" si="1"/>
        <v>62.739846153846159</v>
      </c>
      <c r="T11" s="26">
        <f t="shared" si="1"/>
        <v>14.146666666666667</v>
      </c>
      <c r="U11" s="27">
        <v>36</v>
      </c>
      <c r="V11" s="25">
        <v>72</v>
      </c>
      <c r="W11" s="25">
        <v>70</v>
      </c>
      <c r="X11" s="27">
        <f t="shared" si="2"/>
        <v>178</v>
      </c>
      <c r="Y11" s="28">
        <f t="shared" si="3"/>
        <v>12.254057868289939</v>
      </c>
      <c r="Z11" s="28">
        <f t="shared" si="4"/>
        <v>11.48541444422044</v>
      </c>
      <c r="AA11" s="28">
        <f t="shared" si="5"/>
        <v>10.583468771261389</v>
      </c>
      <c r="AB11" s="25"/>
      <c r="AC11" s="29">
        <f t="shared" si="13"/>
        <v>11.892482933242903</v>
      </c>
      <c r="AD11" s="29">
        <f t="shared" si="6"/>
        <v>28.69156944898436</v>
      </c>
      <c r="AE11" s="25"/>
      <c r="AF11" s="30">
        <f t="shared" si="7"/>
        <v>11.286172681070823</v>
      </c>
      <c r="AG11" s="30">
        <f t="shared" si="8"/>
        <v>30.232923918688957</v>
      </c>
      <c r="AI11" s="31"/>
      <c r="AL11" s="46"/>
      <c r="AM11" s="46"/>
      <c r="AN11" s="46"/>
      <c r="AO11" s="46"/>
      <c r="AP11" s="46"/>
    </row>
    <row r="12" spans="1:43" x14ac:dyDescent="0.2">
      <c r="A12" s="19">
        <f>'[1]CONSUMO ENERGETICO'!A74</f>
        <v>44105</v>
      </c>
      <c r="B12" s="20">
        <f>'[1]CONSUMO ENERGETICO'!F74</f>
        <v>12803.18</v>
      </c>
      <c r="C12" s="20">
        <f>'[1]CONSUMO ENERGETICO'!O74</f>
        <v>26614.78</v>
      </c>
      <c r="D12" s="20">
        <f>'[1]CONSUMO ENERGETICO'!W74</f>
        <v>23166.25</v>
      </c>
      <c r="E12" s="21">
        <f>'[1]CONSUMO ENERGETICO'!B74</f>
        <v>6725.73</v>
      </c>
      <c r="F12" s="21">
        <f>'[1]CONSUMO ENERGETICO'!L74</f>
        <v>13069.43</v>
      </c>
      <c r="G12" s="21">
        <f>'[1]CONSUMO ENERGETICO'!T74</f>
        <v>10843.42</v>
      </c>
      <c r="H12" s="34">
        <f>'[1]CONSUMO ENERGETICO'!K74</f>
        <v>6080.76</v>
      </c>
      <c r="I12" s="23">
        <f t="shared" si="9"/>
        <v>162363.27332055601</v>
      </c>
      <c r="J12" s="23">
        <f t="shared" si="10"/>
        <v>315504.10665219603</v>
      </c>
      <c r="K12" s="23">
        <f t="shared" si="11"/>
        <v>261766.851358824</v>
      </c>
      <c r="L12" s="24">
        <f t="shared" si="12"/>
        <v>12.681480172937974</v>
      </c>
      <c r="M12" s="24">
        <f t="shared" si="0"/>
        <v>11.854469834137124</v>
      </c>
      <c r="N12" s="24">
        <f t="shared" si="0"/>
        <v>11.299491776132262</v>
      </c>
      <c r="O12" s="25">
        <f>+'[1]CONSUMO ENERGETICO'!J74</f>
        <v>398</v>
      </c>
      <c r="P12" s="25">
        <f>+'[1]CONSUMO ENERGETICO'!S74</f>
        <v>442</v>
      </c>
      <c r="Q12" s="25">
        <f>+'[1]CONSUMO ENERGETICO'!AA74</f>
        <v>358</v>
      </c>
      <c r="R12" s="26">
        <f t="shared" si="1"/>
        <v>32.168793969849247</v>
      </c>
      <c r="S12" s="26">
        <f t="shared" si="1"/>
        <v>60.214434389140266</v>
      </c>
      <c r="T12" s="26">
        <f t="shared" si="1"/>
        <v>64.710195530726253</v>
      </c>
      <c r="U12" s="27">
        <v>36</v>
      </c>
      <c r="V12" s="25">
        <v>72</v>
      </c>
      <c r="W12" s="25">
        <v>70</v>
      </c>
      <c r="X12" s="27">
        <f t="shared" si="2"/>
        <v>178</v>
      </c>
      <c r="Y12" s="28">
        <f t="shared" si="3"/>
        <v>12.543173635249532</v>
      </c>
      <c r="Z12" s="28">
        <f t="shared" si="4"/>
        <v>11.586937494770607</v>
      </c>
      <c r="AA12" s="28">
        <f t="shared" si="5"/>
        <v>11.194224667193714</v>
      </c>
      <c r="AB12" s="25"/>
      <c r="AC12" s="29">
        <f t="shared" si="13"/>
        <v>11.803480554005048</v>
      </c>
      <c r="AD12" s="29">
        <f t="shared" si="6"/>
        <v>28.90791393596378</v>
      </c>
      <c r="AE12" s="25"/>
      <c r="AF12" s="30">
        <f t="shared" si="7"/>
        <v>11.625895939303522</v>
      </c>
      <c r="AG12" s="30">
        <f t="shared" si="8"/>
        <v>29.349479969665136</v>
      </c>
      <c r="AH12" s="38"/>
      <c r="AI12" s="38"/>
      <c r="AJ12" s="38"/>
      <c r="AK12" s="38"/>
    </row>
    <row r="13" spans="1:43" x14ac:dyDescent="0.2">
      <c r="A13" s="19">
        <f>'[1]CONSUMO ENERGETICO'!A75</f>
        <v>44136</v>
      </c>
      <c r="B13" s="20">
        <f>'[1]CONSUMO ENERGETICO'!F75</f>
        <v>13955.38</v>
      </c>
      <c r="C13" s="20">
        <f>'[1]CONSUMO ENERGETICO'!O75</f>
        <v>23178.560000000001</v>
      </c>
      <c r="D13" s="20">
        <f>'[1]CONSUMO ENERGETICO'!W75</f>
        <v>23256.37</v>
      </c>
      <c r="E13" s="21">
        <f>'[1]CONSUMO ENERGETICO'!B75</f>
        <v>7668.39</v>
      </c>
      <c r="F13" s="21">
        <f>'[1]CONSUMO ENERGETICO'!L75</f>
        <v>11839.6</v>
      </c>
      <c r="G13" s="21">
        <f>'[1]CONSUMO ENERGETICO'!T75</f>
        <v>11731.46</v>
      </c>
      <c r="H13" s="34">
        <f>'[1]CONSUMO ENERGETICO'!K75</f>
        <v>5970.83</v>
      </c>
      <c r="I13" s="23">
        <f t="shared" si="9"/>
        <v>181773.012662889</v>
      </c>
      <c r="J13" s="23">
        <f t="shared" si="10"/>
        <v>280648.18830595998</v>
      </c>
      <c r="K13" s="23">
        <f t="shared" si="11"/>
        <v>278084.81664784596</v>
      </c>
      <c r="L13" s="24">
        <f t="shared" si="12"/>
        <v>13.025300110988667</v>
      </c>
      <c r="M13" s="24">
        <f t="shared" si="0"/>
        <v>12.108094217499273</v>
      </c>
      <c r="N13" s="24">
        <f t="shared" si="0"/>
        <v>11.957361215350717</v>
      </c>
      <c r="O13" s="25">
        <f>+'[1]CONSUMO ENERGETICO'!J75</f>
        <v>512</v>
      </c>
      <c r="P13" s="25">
        <f>+'[1]CONSUMO ENERGETICO'!S75</f>
        <v>437</v>
      </c>
      <c r="Q13" s="25">
        <f>+'[1]CONSUMO ENERGETICO'!AA75</f>
        <v>422</v>
      </c>
      <c r="R13" s="26">
        <f t="shared" si="1"/>
        <v>27.256601562499998</v>
      </c>
      <c r="S13" s="26">
        <f t="shared" si="1"/>
        <v>53.040183066361557</v>
      </c>
      <c r="T13" s="26">
        <f t="shared" si="1"/>
        <v>55.109881516587677</v>
      </c>
      <c r="U13" s="27">
        <v>36</v>
      </c>
      <c r="V13" s="25">
        <v>72</v>
      </c>
      <c r="W13" s="25">
        <v>70</v>
      </c>
      <c r="X13" s="27">
        <f t="shared" si="2"/>
        <v>178</v>
      </c>
      <c r="Y13" s="28">
        <f t="shared" si="3"/>
        <v>12.709663427394917</v>
      </c>
      <c r="Z13" s="28">
        <f t="shared" si="4"/>
        <v>11.67770637310568</v>
      </c>
      <c r="AA13" s="28">
        <f t="shared" si="5"/>
        <v>11.661047857530813</v>
      </c>
      <c r="AB13" s="25"/>
      <c r="AC13" s="29">
        <f t="shared" si="13"/>
        <v>12.234319509719606</v>
      </c>
      <c r="AD13" s="29">
        <f t="shared" si="6"/>
        <v>27.889904275339639</v>
      </c>
      <c r="AE13" s="25"/>
      <c r="AF13" s="30">
        <f t="shared" si="7"/>
        <v>11.879865686949341</v>
      </c>
      <c r="AG13" s="30">
        <f t="shared" si="8"/>
        <v>28.722041897733035</v>
      </c>
      <c r="AH13" s="38"/>
      <c r="AI13" s="38"/>
      <c r="AJ13" s="38"/>
      <c r="AK13" s="38"/>
    </row>
    <row r="14" spans="1:43" s="38" customFormat="1" x14ac:dyDescent="0.2">
      <c r="A14" s="19">
        <f>'[1]CONSUMO ENERGETICO'!A76</f>
        <v>44166</v>
      </c>
      <c r="B14" s="20">
        <f>'[1]CONSUMO ENERGETICO'!F76</f>
        <v>14139.26</v>
      </c>
      <c r="C14" s="20">
        <f>'[1]CONSUMO ENERGETICO'!O76</f>
        <v>26230.87</v>
      </c>
      <c r="D14" s="20">
        <f>'[1]CONSUMO ENERGETICO'!W76</f>
        <v>28202.73</v>
      </c>
      <c r="E14" s="21">
        <f>'[1]CONSUMO ENERGETICO'!B76</f>
        <v>7963.51</v>
      </c>
      <c r="F14" s="21">
        <f>'[1]CONSUMO ENERGETICO'!L76</f>
        <v>13133.7</v>
      </c>
      <c r="G14" s="21">
        <f>'[1]CONSUMO ENERGETICO'!T76</f>
        <v>13833.36</v>
      </c>
      <c r="H14" s="34">
        <f>'[1]CONSUMO ENERGETICO'!K76</f>
        <v>5987.01</v>
      </c>
      <c r="I14" s="23">
        <f t="shared" si="9"/>
        <v>189280.12760024701</v>
      </c>
      <c r="J14" s="23">
        <f t="shared" si="10"/>
        <v>312167.42515089008</v>
      </c>
      <c r="K14" s="23">
        <f t="shared" si="11"/>
        <v>328797.24467479205</v>
      </c>
      <c r="L14" s="24">
        <f t="shared" si="12"/>
        <v>13.386848222626007</v>
      </c>
      <c r="M14" s="24">
        <f t="shared" si="0"/>
        <v>11.900765211023884</v>
      </c>
      <c r="N14" s="24">
        <f t="shared" si="0"/>
        <v>11.658348134198075</v>
      </c>
      <c r="O14" s="25">
        <f>+'[1]CONSUMO ENERGETICO'!J76</f>
        <v>501</v>
      </c>
      <c r="P14" s="25">
        <f>+'[1]CONSUMO ENERGETICO'!S76</f>
        <v>416</v>
      </c>
      <c r="Q14" s="25">
        <f>+'[1]CONSUMO ENERGETICO'!AA76</f>
        <v>463</v>
      </c>
      <c r="R14" s="26">
        <f t="shared" si="1"/>
        <v>28.222075848303394</v>
      </c>
      <c r="S14" s="26">
        <f t="shared" si="1"/>
        <v>63.05497596153846</v>
      </c>
      <c r="T14" s="26">
        <f t="shared" si="1"/>
        <v>60.913023758099349</v>
      </c>
      <c r="U14" s="27">
        <v>36</v>
      </c>
      <c r="V14" s="25">
        <v>72</v>
      </c>
      <c r="W14" s="25">
        <v>70</v>
      </c>
      <c r="X14" s="27">
        <f t="shared" si="2"/>
        <v>178</v>
      </c>
      <c r="Y14" s="28">
        <f t="shared" si="3"/>
        <v>13.106065160749759</v>
      </c>
      <c r="Z14" s="28">
        <f t="shared" si="4"/>
        <v>11.697713165350807</v>
      </c>
      <c r="AA14" s="28">
        <f t="shared" si="5"/>
        <v>11.477517306984252</v>
      </c>
      <c r="AB14" s="25"/>
      <c r="AC14" s="29">
        <f t="shared" si="13"/>
        <v>12.105988767427647</v>
      </c>
      <c r="AD14" s="29">
        <f t="shared" si="6"/>
        <v>28.185553989449406</v>
      </c>
      <c r="AE14" s="25"/>
      <c r="AF14" s="30">
        <f t="shared" si="7"/>
        <v>11.895954523489591</v>
      </c>
      <c r="AG14" s="30">
        <f t="shared" si="8"/>
        <v>28.68319640313381</v>
      </c>
    </row>
    <row r="15" spans="1:43" ht="7.5" customHeight="1" x14ac:dyDescent="0.2">
      <c r="A15" s="40"/>
      <c r="B15" s="41"/>
      <c r="L15" s="43"/>
      <c r="M15" s="43"/>
      <c r="N15" s="43"/>
      <c r="O15" s="38"/>
      <c r="P15" s="38"/>
      <c r="Q15" s="38"/>
      <c r="R15" s="38"/>
      <c r="S15" s="38"/>
      <c r="T15" s="38"/>
      <c r="U15" s="44"/>
      <c r="V15" s="44"/>
      <c r="W15" s="44"/>
      <c r="X15" s="38"/>
      <c r="Y15" s="45"/>
      <c r="Z15" s="45"/>
      <c r="AA15" s="45"/>
      <c r="AB15" s="46"/>
      <c r="AC15" s="31"/>
      <c r="AD15" s="31"/>
      <c r="AE15" s="46"/>
      <c r="AF15" s="46"/>
      <c r="AG15" s="46"/>
      <c r="AH15" s="38"/>
      <c r="AI15" s="38"/>
      <c r="AJ15" s="38"/>
      <c r="AK15" s="38"/>
    </row>
    <row r="16" spans="1:43" ht="3.75" customHeight="1" thickBot="1" x14ac:dyDescent="0.25">
      <c r="A16" s="47"/>
      <c r="B16" s="41"/>
      <c r="L16" s="43"/>
      <c r="M16" s="43"/>
      <c r="N16" s="43"/>
      <c r="O16" s="38"/>
      <c r="P16" s="38"/>
      <c r="Q16" s="38"/>
      <c r="R16" s="38"/>
      <c r="S16" s="38"/>
      <c r="T16" s="38"/>
      <c r="U16" s="44"/>
      <c r="V16" s="44"/>
      <c r="W16" s="44"/>
      <c r="X16" s="38"/>
      <c r="Y16" s="45"/>
      <c r="Z16" s="45"/>
      <c r="AA16" s="45"/>
      <c r="AB16" s="46"/>
      <c r="AC16" s="31"/>
      <c r="AD16" s="31"/>
      <c r="AE16" s="46"/>
      <c r="AF16" s="46"/>
      <c r="AG16" s="46"/>
      <c r="AH16" s="38"/>
      <c r="AI16" s="38"/>
      <c r="AJ16" s="38"/>
      <c r="AK16" s="38"/>
    </row>
    <row r="17" spans="1:42" s="49" customFormat="1" ht="15" customHeight="1" thickBot="1" x14ac:dyDescent="0.25">
      <c r="A17" s="134" t="s">
        <v>21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6"/>
      <c r="AH17" s="48"/>
      <c r="AI17" s="48"/>
      <c r="AJ17" s="48"/>
      <c r="AK17" s="48"/>
      <c r="AL17" s="48"/>
      <c r="AM17" s="48"/>
      <c r="AN17" s="48"/>
      <c r="AO17" s="48"/>
      <c r="AP17" s="48"/>
    </row>
    <row r="18" spans="1:42" x14ac:dyDescent="0.2">
      <c r="A18" s="50">
        <v>43831</v>
      </c>
      <c r="B18" s="51">
        <f>+SUM(B$3)</f>
        <v>21297.09</v>
      </c>
      <c r="C18" s="51">
        <f t="shared" ref="C18:K18" si="15">+SUM(C$3)</f>
        <v>50990.96</v>
      </c>
      <c r="D18" s="51">
        <f t="shared" si="15"/>
        <v>39823.81</v>
      </c>
      <c r="E18" s="52">
        <f t="shared" si="15"/>
        <v>11870.23</v>
      </c>
      <c r="F18" s="52">
        <f t="shared" si="15"/>
        <v>24809.78</v>
      </c>
      <c r="G18" s="52">
        <f t="shared" si="15"/>
        <v>19621.990000000002</v>
      </c>
      <c r="H18" s="53">
        <f t="shared" ref="H18:H29" si="16">+H3</f>
        <v>6057.2015459332861</v>
      </c>
      <c r="I18" s="54">
        <f t="shared" si="15"/>
        <v>285444.4907611371</v>
      </c>
      <c r="J18" s="54">
        <f t="shared" si="15"/>
        <v>596603.015947951</v>
      </c>
      <c r="K18" s="54">
        <f t="shared" si="15"/>
        <v>471851.76220428135</v>
      </c>
      <c r="L18" s="55">
        <f>+I18/B18</f>
        <v>13.402980912469125</v>
      </c>
      <c r="M18" s="55">
        <f t="shared" ref="M18:N29" si="17">+J18/C18</f>
        <v>11.70017226480833</v>
      </c>
      <c r="N18" s="55">
        <f t="shared" si="17"/>
        <v>11.848483663523941</v>
      </c>
      <c r="O18" s="56">
        <f>+SUM(O$3)</f>
        <v>651</v>
      </c>
      <c r="P18" s="56">
        <f>+SUM(P$3)</f>
        <v>744</v>
      </c>
      <c r="Q18" s="56">
        <f>+SUM(Q$3)</f>
        <v>682</v>
      </c>
      <c r="R18" s="57">
        <f>+B18/O18</f>
        <v>32.71442396313364</v>
      </c>
      <c r="S18" s="57">
        <f t="shared" ref="S18:T29" si="18">+C18/P18</f>
        <v>68.53623655913978</v>
      </c>
      <c r="T18" s="57">
        <f t="shared" si="18"/>
        <v>58.392683284457476</v>
      </c>
      <c r="U18" s="58">
        <v>36</v>
      </c>
      <c r="V18" s="59">
        <v>72</v>
      </c>
      <c r="W18" s="59">
        <v>70</v>
      </c>
      <c r="X18" s="58">
        <f t="shared" ref="X18:X29" si="19">+U18+V18+W18</f>
        <v>178</v>
      </c>
      <c r="Y18" s="60">
        <f>L18-(U18-R18)*0.0361</f>
        <v>13.28437161753825</v>
      </c>
      <c r="Z18" s="60">
        <f t="shared" ref="Z18:Z29" si="20">M18-(V18-S18)*0.0227</f>
        <v>11.621544834700803</v>
      </c>
      <c r="AA18" s="60">
        <f t="shared" ref="AA18:AA29" si="21">N18-(W18-T18)*0.0199</f>
        <v>11.617498060884646</v>
      </c>
      <c r="AB18" s="46"/>
      <c r="AC18" s="61">
        <f>L18*(U18/X18)+M18*(V18/X18)+N18*(W18/X18)</f>
        <v>12.10288523798744</v>
      </c>
      <c r="AD18" s="61">
        <f t="shared" ref="AD18:AD29" si="22">3.41214/AC18*100</f>
        <v>28.19278157980284</v>
      </c>
      <c r="AE18" s="46"/>
      <c r="AF18" s="62">
        <f>+Y18*(U18/X18)+Z18*(V18/X18)+AA18*(W18/X18)</f>
        <v>11.956255452762697</v>
      </c>
      <c r="AG18" s="62">
        <f t="shared" ref="AG18:AG29" si="23">3.41214/AF18*100</f>
        <v>28.538533769881663</v>
      </c>
      <c r="AH18" s="38"/>
      <c r="AI18" s="38"/>
      <c r="AJ18" s="38"/>
      <c r="AK18" s="38"/>
    </row>
    <row r="19" spans="1:42" x14ac:dyDescent="0.2">
      <c r="A19" s="63" t="s">
        <v>22</v>
      </c>
      <c r="B19" s="20">
        <f>+SUM(B$3:B4)</f>
        <v>38390.589999999997</v>
      </c>
      <c r="C19" s="20">
        <f>+SUM(C$3:C4)</f>
        <v>98986.45</v>
      </c>
      <c r="D19" s="20">
        <f>+SUM(D$3:D4)</f>
        <v>77744.89</v>
      </c>
      <c r="E19" s="64">
        <f>+SUM(E$3:E4)</f>
        <v>20884.62</v>
      </c>
      <c r="F19" s="64">
        <f>+SUM(F$3:F4)</f>
        <v>47607.81</v>
      </c>
      <c r="G19" s="64">
        <f>+SUM(G$3:G4)</f>
        <v>37233.020000000004</v>
      </c>
      <c r="H19" s="22">
        <f t="shared" si="16"/>
        <v>6096.32</v>
      </c>
      <c r="I19" s="65">
        <f>+SUM(I$3:I4)</f>
        <v>503614.27675899304</v>
      </c>
      <c r="J19" s="65">
        <f>+SUM(J$3:J4)</f>
        <v>1148369.838358863</v>
      </c>
      <c r="K19" s="65">
        <f>+SUM(K$3:K4)</f>
        <v>898080.78561039339</v>
      </c>
      <c r="L19" s="24">
        <f t="shared" ref="L19:L29" si="24">+I19/B19</f>
        <v>13.118169758761017</v>
      </c>
      <c r="M19" s="24">
        <f t="shared" si="17"/>
        <v>11.601283189354332</v>
      </c>
      <c r="N19" s="24">
        <f t="shared" si="17"/>
        <v>11.551637485246856</v>
      </c>
      <c r="O19" s="66">
        <f>+SUM(O$3:O4)</f>
        <v>1146</v>
      </c>
      <c r="P19" s="66">
        <f>+SUM(P$3:P4)</f>
        <v>1439</v>
      </c>
      <c r="Q19" s="66">
        <f>+SUM(Q$3:Q4)</f>
        <v>1327</v>
      </c>
      <c r="R19" s="26">
        <f t="shared" ref="R19:R29" si="25">+B19/O19</f>
        <v>33.499642233856889</v>
      </c>
      <c r="S19" s="26">
        <f t="shared" si="18"/>
        <v>68.788359972202912</v>
      </c>
      <c r="T19" s="26">
        <f t="shared" si="18"/>
        <v>58.586955538809342</v>
      </c>
      <c r="U19" s="27">
        <v>36</v>
      </c>
      <c r="V19" s="25">
        <v>72</v>
      </c>
      <c r="W19" s="25">
        <v>70</v>
      </c>
      <c r="X19" s="27">
        <f t="shared" si="19"/>
        <v>178</v>
      </c>
      <c r="Y19" s="28">
        <f t="shared" ref="Y19:Y29" si="26">L19-(U19-R19)*0.0361</f>
        <v>13.027906843403251</v>
      </c>
      <c r="Z19" s="28">
        <f t="shared" si="20"/>
        <v>11.528378960723337</v>
      </c>
      <c r="AA19" s="28">
        <f t="shared" si="21"/>
        <v>11.324517900469161</v>
      </c>
      <c r="AB19" s="46"/>
      <c r="AC19" s="29">
        <f t="shared" ref="AC19:AC29" si="27">L19*(U19/X19)+M19*(V19/X19)+N19*(W19/X19)</f>
        <v>11.888545645596565</v>
      </c>
      <c r="AD19" s="29">
        <f t="shared" si="22"/>
        <v>28.701071617316227</v>
      </c>
      <c r="AE19" s="46"/>
      <c r="AF19" s="30">
        <f t="shared" ref="AF19:AF29" si="28">+Y19*(U19/X19)+Z19*(V19/X19)+AA19*(W19/X19)</f>
        <v>11.751484182963139</v>
      </c>
      <c r="AG19" s="30">
        <f t="shared" si="23"/>
        <v>29.035821747067423</v>
      </c>
      <c r="AH19" s="38"/>
      <c r="AI19" s="38"/>
      <c r="AJ19" s="38"/>
      <c r="AK19" s="38"/>
    </row>
    <row r="20" spans="1:42" x14ac:dyDescent="0.2">
      <c r="A20" s="63" t="s">
        <v>23</v>
      </c>
      <c r="B20" s="20">
        <f>+SUM(B$3:B5)</f>
        <v>63749.47</v>
      </c>
      <c r="C20" s="20">
        <f>+SUM(C$3:C5)</f>
        <v>143748.71</v>
      </c>
      <c r="D20" s="20">
        <f>+SUM(D$3:D5)</f>
        <v>127181.78</v>
      </c>
      <c r="E20" s="64">
        <f>+SUM(E$3:E5)</f>
        <v>34523.18</v>
      </c>
      <c r="F20" s="64">
        <f>+SUM(F$3:F5)</f>
        <v>69236.179999999993</v>
      </c>
      <c r="G20" s="64">
        <f>+SUM(G$3:G5)</f>
        <v>60760.05</v>
      </c>
      <c r="H20" s="22">
        <f t="shared" si="16"/>
        <v>5907.93</v>
      </c>
      <c r="I20" s="65">
        <f>+SUM(I$3:I5)</f>
        <v>823499.63814876904</v>
      </c>
      <c r="J20" s="65">
        <f>+SUM(J$3:J5)</f>
        <v>1655652.0553760401</v>
      </c>
      <c r="K20" s="65">
        <f>+SUM(K$3:K5)</f>
        <v>1449895.0896115564</v>
      </c>
      <c r="L20" s="24">
        <f t="shared" si="24"/>
        <v>12.917748777343075</v>
      </c>
      <c r="M20" s="24">
        <f t="shared" si="17"/>
        <v>11.517682874343986</v>
      </c>
      <c r="N20" s="24">
        <f t="shared" si="17"/>
        <v>11.400179252181848</v>
      </c>
      <c r="O20" s="66">
        <f>+SUM(O$3:O5)</f>
        <v>1888</v>
      </c>
      <c r="P20" s="66">
        <f>+SUM(P$3:P5)</f>
        <v>2101</v>
      </c>
      <c r="Q20" s="66">
        <f>+SUM(Q$3:Q5)</f>
        <v>2071</v>
      </c>
      <c r="R20" s="26">
        <f t="shared" si="25"/>
        <v>33.765609110169493</v>
      </c>
      <c r="S20" s="26">
        <f t="shared" si="18"/>
        <v>68.419186101856255</v>
      </c>
      <c r="T20" s="26">
        <f t="shared" si="18"/>
        <v>61.410806373732498</v>
      </c>
      <c r="U20" s="27">
        <v>36</v>
      </c>
      <c r="V20" s="25">
        <v>72</v>
      </c>
      <c r="W20" s="25">
        <v>70</v>
      </c>
      <c r="X20" s="27">
        <f t="shared" si="19"/>
        <v>178</v>
      </c>
      <c r="Y20" s="28">
        <f t="shared" si="26"/>
        <v>12.837087266220193</v>
      </c>
      <c r="Z20" s="28">
        <f t="shared" si="20"/>
        <v>11.436398398856124</v>
      </c>
      <c r="AA20" s="28">
        <f t="shared" si="21"/>
        <v>11.229254299019125</v>
      </c>
      <c r="AB20" s="46"/>
      <c r="AC20" s="29">
        <f t="shared" si="27"/>
        <v>11.754632980841837</v>
      </c>
      <c r="AD20" s="29">
        <f t="shared" si="22"/>
        <v>29.028043713157526</v>
      </c>
      <c r="AE20" s="46"/>
      <c r="AF20" s="30">
        <f t="shared" si="28"/>
        <v>11.638222624903969</v>
      </c>
      <c r="AG20" s="30">
        <f t="shared" si="23"/>
        <v>29.318394311332007</v>
      </c>
      <c r="AH20" s="38"/>
      <c r="AI20" s="38"/>
      <c r="AJ20" s="38"/>
      <c r="AK20" s="38"/>
    </row>
    <row r="21" spans="1:42" x14ac:dyDescent="0.2">
      <c r="A21" s="63" t="s">
        <v>24</v>
      </c>
      <c r="B21" s="20">
        <f>+SUM(B$3:B6)</f>
        <v>83957.39</v>
      </c>
      <c r="C21" s="20">
        <f>+SUM(C$3:C6)</f>
        <v>185891.22999999998</v>
      </c>
      <c r="D21" s="20">
        <f>+SUM(D$3:D6)</f>
        <v>168194.46</v>
      </c>
      <c r="E21" s="64">
        <f>+SUM(E$3:E6)</f>
        <v>45447.75</v>
      </c>
      <c r="F21" s="64">
        <f>+SUM(F$3:F6)</f>
        <v>89413.319999999992</v>
      </c>
      <c r="G21" s="64">
        <f>+SUM(G$3:G6)</f>
        <v>80254.740000000005</v>
      </c>
      <c r="H21" s="22">
        <f t="shared" si="16"/>
        <v>5960.14</v>
      </c>
      <c r="I21" s="65">
        <f>+SUM(I$3:I6)</f>
        <v>1081994.1457087751</v>
      </c>
      <c r="J21" s="65">
        <f>+SUM(J$3:J6)</f>
        <v>2133078.6147984522</v>
      </c>
      <c r="K21" s="65">
        <f>+SUM(K$3:K6)</f>
        <v>1911173.6837882583</v>
      </c>
      <c r="L21" s="24">
        <f t="shared" si="24"/>
        <v>12.887419984217889</v>
      </c>
      <c r="M21" s="24">
        <f t="shared" si="17"/>
        <v>11.474874929809504</v>
      </c>
      <c r="N21" s="24">
        <f t="shared" si="17"/>
        <v>11.362881296971722</v>
      </c>
      <c r="O21" s="66">
        <f>+SUM(O$3:O6)</f>
        <v>2525</v>
      </c>
      <c r="P21" s="66">
        <f>+SUM(P$3:P6)</f>
        <v>2741</v>
      </c>
      <c r="Q21" s="66">
        <f>+SUM(Q$3:Q6)</f>
        <v>2705</v>
      </c>
      <c r="R21" s="26">
        <f t="shared" si="25"/>
        <v>33.250451485148517</v>
      </c>
      <c r="S21" s="26">
        <f t="shared" si="18"/>
        <v>67.818763225100327</v>
      </c>
      <c r="T21" s="26">
        <f t="shared" si="18"/>
        <v>62.179097966728278</v>
      </c>
      <c r="U21" s="27">
        <v>36</v>
      </c>
      <c r="V21" s="25">
        <v>72</v>
      </c>
      <c r="W21" s="25">
        <v>70</v>
      </c>
      <c r="X21" s="27">
        <f t="shared" si="19"/>
        <v>178</v>
      </c>
      <c r="Y21" s="28">
        <f t="shared" si="26"/>
        <v>12.78816128283175</v>
      </c>
      <c r="Z21" s="28">
        <f t="shared" si="20"/>
        <v>11.379960855019281</v>
      </c>
      <c r="AA21" s="28">
        <f t="shared" si="21"/>
        <v>11.207245346509614</v>
      </c>
      <c r="AB21" s="46"/>
      <c r="AC21" s="29">
        <f t="shared" si="27"/>
        <v>11.716515759360387</v>
      </c>
      <c r="AD21" s="29">
        <f t="shared" si="22"/>
        <v>29.122480352352387</v>
      </c>
      <c r="AE21" s="46"/>
      <c r="AF21" s="30">
        <f t="shared" si="28"/>
        <v>11.596843606735979</v>
      </c>
      <c r="AG21" s="30">
        <f t="shared" si="23"/>
        <v>29.423006084328605</v>
      </c>
      <c r="AH21" s="38"/>
      <c r="AI21" s="38"/>
      <c r="AJ21" s="38"/>
      <c r="AK21" s="38"/>
    </row>
    <row r="22" spans="1:42" x14ac:dyDescent="0.2">
      <c r="A22" s="63" t="s">
        <v>25</v>
      </c>
      <c r="B22" s="20">
        <f>+SUM(B$3:B7)</f>
        <v>107412.98</v>
      </c>
      <c r="C22" s="20">
        <f>+SUM(C$3:C7)</f>
        <v>229969.3</v>
      </c>
      <c r="D22" s="20">
        <f>+SUM(D$3:D7)</f>
        <v>211187.28</v>
      </c>
      <c r="E22" s="64">
        <f>+SUM(E$3:E7)</f>
        <v>58460.29</v>
      </c>
      <c r="F22" s="64">
        <f>+SUM(F$3:F7)</f>
        <v>110721.62</v>
      </c>
      <c r="G22" s="64">
        <f>+SUM(G$3:G7)</f>
        <v>100995.47</v>
      </c>
      <c r="H22" s="22">
        <f t="shared" si="16"/>
        <v>5884.77</v>
      </c>
      <c r="I22" s="65">
        <f>+SUM(I$3:I7)</f>
        <v>1386000.0916215011</v>
      </c>
      <c r="J22" s="65">
        <f>+SUM(J$3:J7)</f>
        <v>2630894.5598247224</v>
      </c>
      <c r="K22" s="65">
        <f>+SUM(K$3:K7)</f>
        <v>2395729.7537461952</v>
      </c>
      <c r="L22" s="24">
        <f t="shared" si="24"/>
        <v>12.903469316478336</v>
      </c>
      <c r="M22" s="24">
        <f t="shared" si="17"/>
        <v>11.440199017106728</v>
      </c>
      <c r="N22" s="24">
        <f t="shared" si="17"/>
        <v>11.344100618873425</v>
      </c>
      <c r="O22" s="66">
        <f>+SUM(O$3:O7)</f>
        <v>3214</v>
      </c>
      <c r="P22" s="66">
        <f>+SUM(P$3:P7)</f>
        <v>3396</v>
      </c>
      <c r="Q22" s="66">
        <f>+SUM(Q$3:Q7)</f>
        <v>3361</v>
      </c>
      <c r="R22" s="26">
        <f t="shared" si="25"/>
        <v>33.42034225264468</v>
      </c>
      <c r="S22" s="26">
        <f t="shared" si="18"/>
        <v>67.717697290930502</v>
      </c>
      <c r="T22" s="26">
        <f t="shared" si="18"/>
        <v>62.834656352276106</v>
      </c>
      <c r="U22" s="27">
        <v>36</v>
      </c>
      <c r="V22" s="25">
        <v>72</v>
      </c>
      <c r="W22" s="25">
        <v>70</v>
      </c>
      <c r="X22" s="27">
        <f t="shared" si="19"/>
        <v>178</v>
      </c>
      <c r="Y22" s="28">
        <f t="shared" si="26"/>
        <v>12.81034367179881</v>
      </c>
      <c r="Z22" s="28">
        <f t="shared" si="20"/>
        <v>11.34299074561085</v>
      </c>
      <c r="AA22" s="28">
        <f t="shared" si="21"/>
        <v>11.201510280283719</v>
      </c>
      <c r="AB22" s="46"/>
      <c r="AC22" s="29">
        <f t="shared" si="27"/>
        <v>11.698349819921596</v>
      </c>
      <c r="AD22" s="29">
        <f t="shared" si="22"/>
        <v>29.167703586614653</v>
      </c>
      <c r="AE22" s="46"/>
      <c r="AF22" s="30">
        <f t="shared" si="28"/>
        <v>11.584120367913476</v>
      </c>
      <c r="AG22" s="30">
        <f t="shared" si="23"/>
        <v>29.455322386421233</v>
      </c>
      <c r="AH22" s="38"/>
      <c r="AI22" s="38"/>
      <c r="AJ22" s="38"/>
      <c r="AK22" s="38"/>
    </row>
    <row r="23" spans="1:42" x14ac:dyDescent="0.2">
      <c r="A23" s="63" t="s">
        <v>26</v>
      </c>
      <c r="B23" s="20">
        <f>+SUM(B$3:B8)</f>
        <v>107815.17</v>
      </c>
      <c r="C23" s="20">
        <f>+SUM(C$3:C8)</f>
        <v>272386.27</v>
      </c>
      <c r="D23" s="20">
        <f>+SUM(D$3:D8)</f>
        <v>255424.4</v>
      </c>
      <c r="E23" s="64">
        <f>+SUM(E$3:E8)</f>
        <v>58673.450000000004</v>
      </c>
      <c r="F23" s="64">
        <f>+SUM(F$3:F8)</f>
        <v>131696.1</v>
      </c>
      <c r="G23" s="64">
        <f>+SUM(G$3:G8)</f>
        <v>122259.41</v>
      </c>
      <c r="H23" s="22">
        <f t="shared" si="16"/>
        <v>5974.02</v>
      </c>
      <c r="I23" s="65">
        <f>+SUM(I$3:I8)</f>
        <v>1391055.5773712052</v>
      </c>
      <c r="J23" s="65">
        <f>+SUM(J$3:J8)</f>
        <v>3128343.3529728344</v>
      </c>
      <c r="K23" s="65">
        <f>+SUM(K$3:K8)</f>
        <v>2900043.6290162313</v>
      </c>
      <c r="L23" s="24">
        <f t="shared" si="24"/>
        <v>12.902224959355953</v>
      </c>
      <c r="M23" s="24">
        <f t="shared" si="17"/>
        <v>11.484952427935646</v>
      </c>
      <c r="N23" s="24">
        <f t="shared" si="17"/>
        <v>11.353823789020279</v>
      </c>
      <c r="O23" s="66">
        <f>+SUM(O$3:O8)</f>
        <v>3230</v>
      </c>
      <c r="P23" s="66">
        <f>+SUM(P$3:P8)</f>
        <v>4044</v>
      </c>
      <c r="Q23" s="66">
        <f>+SUM(Q$3:Q8)</f>
        <v>4027</v>
      </c>
      <c r="R23" s="26">
        <f t="shared" si="25"/>
        <v>33.379309597523218</v>
      </c>
      <c r="S23" s="26">
        <f t="shared" si="18"/>
        <v>67.355655291790313</v>
      </c>
      <c r="T23" s="26">
        <f t="shared" si="18"/>
        <v>63.427961261484974</v>
      </c>
      <c r="U23" s="27">
        <v>36</v>
      </c>
      <c r="V23" s="25">
        <v>72</v>
      </c>
      <c r="W23" s="25">
        <v>70</v>
      </c>
      <c r="X23" s="27">
        <f t="shared" si="19"/>
        <v>178</v>
      </c>
      <c r="Y23" s="28">
        <f t="shared" si="26"/>
        <v>12.807618035826541</v>
      </c>
      <c r="Z23" s="28">
        <f t="shared" si="20"/>
        <v>11.379525803059286</v>
      </c>
      <c r="AA23" s="28">
        <f t="shared" si="21"/>
        <v>11.223040218123829</v>
      </c>
      <c r="AB23" s="46"/>
      <c r="AC23" s="29">
        <f t="shared" si="27"/>
        <v>11.720024374042698</v>
      </c>
      <c r="AD23" s="29">
        <f t="shared" si="22"/>
        <v>29.113761977809084</v>
      </c>
      <c r="AE23" s="46"/>
      <c r="AF23" s="30">
        <f t="shared" si="28"/>
        <v>11.60681417066681</v>
      </c>
      <c r="AG23" s="30">
        <f t="shared" si="23"/>
        <v>29.397730934844223</v>
      </c>
      <c r="AH23" s="38"/>
      <c r="AI23" s="38"/>
      <c r="AJ23" s="38"/>
      <c r="AK23" s="38"/>
    </row>
    <row r="24" spans="1:42" x14ac:dyDescent="0.2">
      <c r="A24" s="63" t="s">
        <v>27</v>
      </c>
      <c r="B24" s="20">
        <f>+SUM(B$3:B9)</f>
        <v>111139.53</v>
      </c>
      <c r="C24" s="20">
        <f>+SUM(C$3:C9)</f>
        <v>277221.66000000003</v>
      </c>
      <c r="D24" s="20">
        <f>+SUM(D$3:D9)</f>
        <v>260903.59</v>
      </c>
      <c r="E24" s="64">
        <f>+SUM(E$3:E9)</f>
        <v>60667.780000000006</v>
      </c>
      <c r="F24" s="64">
        <f>+SUM(F$3:F9)</f>
        <v>134144.33000000002</v>
      </c>
      <c r="G24" s="64">
        <f>+SUM(G$3:G9)</f>
        <v>124990.1</v>
      </c>
      <c r="H24" s="22">
        <f t="shared" si="16"/>
        <v>6246.74</v>
      </c>
      <c r="I24" s="65">
        <f>+SUM(I$3:I9)</f>
        <v>1440514.0794784792</v>
      </c>
      <c r="J24" s="65">
        <f>+SUM(J$3:J9)</f>
        <v>3189058.3743655286</v>
      </c>
      <c r="K24" s="65">
        <f>+SUM(K$3:K9)</f>
        <v>2967763.5335051133</v>
      </c>
      <c r="L24" s="24">
        <f t="shared" si="24"/>
        <v>12.961311600638219</v>
      </c>
      <c r="M24" s="24">
        <f t="shared" si="17"/>
        <v>11.503640712509723</v>
      </c>
      <c r="N24" s="24">
        <f t="shared" si="17"/>
        <v>11.374943263544642</v>
      </c>
      <c r="O24" s="66">
        <f>+SUM(O$3:O9)</f>
        <v>3350</v>
      </c>
      <c r="P24" s="66">
        <f>+SUM(P$3:P9)</f>
        <v>4140</v>
      </c>
      <c r="Q24" s="66">
        <f>+SUM(Q$3:Q9)</f>
        <v>4123</v>
      </c>
      <c r="R24" s="26">
        <f t="shared" si="25"/>
        <v>33.175979104477612</v>
      </c>
      <c r="S24" s="26">
        <f t="shared" si="18"/>
        <v>66.961753623188415</v>
      </c>
      <c r="T24" s="26">
        <f t="shared" si="18"/>
        <v>63.280036381275771</v>
      </c>
      <c r="U24" s="27">
        <v>36</v>
      </c>
      <c r="V24" s="25">
        <v>72</v>
      </c>
      <c r="W24" s="25">
        <v>70</v>
      </c>
      <c r="X24" s="27">
        <f t="shared" si="19"/>
        <v>178</v>
      </c>
      <c r="Y24" s="28">
        <f t="shared" si="26"/>
        <v>12.85936444630986</v>
      </c>
      <c r="Z24" s="28">
        <f t="shared" si="20"/>
        <v>11.3892725197561</v>
      </c>
      <c r="AA24" s="28">
        <f t="shared" si="21"/>
        <v>11.24121598753203</v>
      </c>
      <c r="AB24" s="46"/>
      <c r="AC24" s="29">
        <f t="shared" si="27"/>
        <v>11.747839198717983</v>
      </c>
      <c r="AD24" s="29">
        <f t="shared" si="22"/>
        <v>29.044830647429691</v>
      </c>
      <c r="AE24" s="46"/>
      <c r="AF24" s="30">
        <f t="shared" si="28"/>
        <v>11.628370003465371</v>
      </c>
      <c r="AG24" s="30">
        <f t="shared" si="23"/>
        <v>29.343235543615727</v>
      </c>
      <c r="AH24" s="38"/>
      <c r="AI24" s="38"/>
      <c r="AJ24" s="38"/>
      <c r="AK24" s="38"/>
    </row>
    <row r="25" spans="1:42" x14ac:dyDescent="0.2">
      <c r="A25" s="63" t="s">
        <v>28</v>
      </c>
      <c r="B25" s="20">
        <f>+SUM(B$3:B10)</f>
        <v>112444.39</v>
      </c>
      <c r="C25" s="20">
        <f>+SUM(C$3:C10)</f>
        <v>283529.56000000006</v>
      </c>
      <c r="D25" s="20">
        <f>+SUM(D$3:D10)</f>
        <v>261286.54</v>
      </c>
      <c r="E25" s="64">
        <f>+SUM(E$3:E10)</f>
        <v>61371.790000000008</v>
      </c>
      <c r="F25" s="64">
        <f>+SUM(F$3:F10)</f>
        <v>137585.14000000001</v>
      </c>
      <c r="G25" s="64">
        <f>+SUM(G$3:G10)</f>
        <v>125177.36</v>
      </c>
      <c r="H25" s="22">
        <f t="shared" si="16"/>
        <v>5877.46</v>
      </c>
      <c r="I25" s="65">
        <f>+SUM(I$3:I10)</f>
        <v>1456941.1082184413</v>
      </c>
      <c r="J25" s="65">
        <f>+SUM(J$3:J10)</f>
        <v>3269344.5702416506</v>
      </c>
      <c r="K25" s="65">
        <f>+SUM(K$3:K10)</f>
        <v>2972132.9677487253</v>
      </c>
      <c r="L25" s="24">
        <f t="shared" si="24"/>
        <v>12.956992413925152</v>
      </c>
      <c r="M25" s="24">
        <f t="shared" si="17"/>
        <v>11.530877310435109</v>
      </c>
      <c r="N25" s="24">
        <f t="shared" si="17"/>
        <v>11.374994547169269</v>
      </c>
      <c r="O25" s="66">
        <f>+SUM(O$3:O10)</f>
        <v>3397</v>
      </c>
      <c r="P25" s="66">
        <f>+SUM(P$3:P10)</f>
        <v>4268</v>
      </c>
      <c r="Q25" s="66">
        <f>+SUM(Q$3:Q10)</f>
        <v>4133</v>
      </c>
      <c r="R25" s="26">
        <f t="shared" si="25"/>
        <v>33.101086252575804</v>
      </c>
      <c r="S25" s="26">
        <f t="shared" si="18"/>
        <v>66.431480787254003</v>
      </c>
      <c r="T25" s="26">
        <f t="shared" si="18"/>
        <v>63.219583837406248</v>
      </c>
      <c r="U25" s="27">
        <v>36</v>
      </c>
      <c r="V25" s="25">
        <v>72</v>
      </c>
      <c r="W25" s="25">
        <v>70</v>
      </c>
      <c r="X25" s="27">
        <f t="shared" si="19"/>
        <v>178</v>
      </c>
      <c r="Y25" s="28">
        <f t="shared" si="26"/>
        <v>12.852341627643138</v>
      </c>
      <c r="Z25" s="28">
        <f t="shared" si="20"/>
        <v>11.404471924305774</v>
      </c>
      <c r="AA25" s="28">
        <f t="shared" si="21"/>
        <v>11.240064265533654</v>
      </c>
      <c r="AB25" s="46"/>
      <c r="AC25" s="29">
        <f t="shared" si="27"/>
        <v>11.758002873901585</v>
      </c>
      <c r="AD25" s="29">
        <f t="shared" si="22"/>
        <v>29.019724153782001</v>
      </c>
      <c r="AE25" s="46"/>
      <c r="AF25" s="30">
        <f t="shared" si="28"/>
        <v>11.632644807486093</v>
      </c>
      <c r="AG25" s="30">
        <f t="shared" si="23"/>
        <v>29.332452391257963</v>
      </c>
      <c r="AH25" s="38"/>
      <c r="AI25" s="38"/>
      <c r="AJ25" s="38"/>
      <c r="AK25" s="38"/>
    </row>
    <row r="26" spans="1:42" x14ac:dyDescent="0.2">
      <c r="A26" s="63" t="s">
        <v>29</v>
      </c>
      <c r="B26" s="20">
        <f>+SUM(B$3:B11)</f>
        <v>115185</v>
      </c>
      <c r="C26" s="20">
        <f>+SUM(C$3:C11)</f>
        <v>287607.65000000008</v>
      </c>
      <c r="D26" s="20">
        <f>+SUM(D$3:D11)</f>
        <v>261328.98</v>
      </c>
      <c r="E26" s="64">
        <f>+SUM(E$3:E11)</f>
        <v>62796.910000000011</v>
      </c>
      <c r="F26" s="64">
        <f>+SUM(F$3:F11)</f>
        <v>139542.62000000002</v>
      </c>
      <c r="G26" s="64">
        <f>+SUM(G$3:G11)</f>
        <v>125197.73</v>
      </c>
      <c r="H26" s="22">
        <f t="shared" si="16"/>
        <v>6137.51</v>
      </c>
      <c r="I26" s="65">
        <f>+SUM(I$3:I11)</f>
        <v>1491665.4605757052</v>
      </c>
      <c r="J26" s="65">
        <f>+SUM(J$3:J11)</f>
        <v>3317040.3609486064</v>
      </c>
      <c r="K26" s="65">
        <f>+SUM(K$3:K11)</f>
        <v>2972629.3014311641</v>
      </c>
      <c r="L26" s="24">
        <f>+I26/B26</f>
        <v>12.950171121028825</v>
      </c>
      <c r="M26" s="24">
        <f t="shared" si="17"/>
        <v>11.533213254058456</v>
      </c>
      <c r="N26" s="24">
        <f t="shared" si="17"/>
        <v>11.375046508164399</v>
      </c>
      <c r="O26" s="66">
        <f>+SUM(O$3:O11)</f>
        <v>3509</v>
      </c>
      <c r="P26" s="66">
        <f>+SUM(P$3:P11)</f>
        <v>4333</v>
      </c>
      <c r="Q26" s="66">
        <f>+SUM(Q$3:Q11)</f>
        <v>4136</v>
      </c>
      <c r="R26" s="26">
        <f t="shared" si="25"/>
        <v>32.825591336563122</v>
      </c>
      <c r="S26" s="26">
        <f t="shared" si="18"/>
        <v>66.376102007846782</v>
      </c>
      <c r="T26" s="26">
        <f t="shared" si="18"/>
        <v>63.183989361702132</v>
      </c>
      <c r="U26" s="27">
        <v>36</v>
      </c>
      <c r="V26" s="25">
        <v>72</v>
      </c>
      <c r="W26" s="25">
        <v>70</v>
      </c>
      <c r="X26" s="27">
        <f t="shared" si="19"/>
        <v>178</v>
      </c>
      <c r="Y26" s="28">
        <f t="shared" si="26"/>
        <v>12.835574968278754</v>
      </c>
      <c r="Z26" s="28">
        <f t="shared" si="20"/>
        <v>11.405550769636578</v>
      </c>
      <c r="AA26" s="28">
        <f t="shared" si="21"/>
        <v>11.239407896462271</v>
      </c>
      <c r="AB26" s="46"/>
      <c r="AC26" s="29">
        <f t="shared" si="27"/>
        <v>11.757588596745812</v>
      </c>
      <c r="AD26" s="29">
        <f t="shared" si="22"/>
        <v>29.020746660113534</v>
      </c>
      <c r="AE26" s="46"/>
      <c r="AF26" s="30">
        <f t="shared" si="28"/>
        <v>11.629432061933864</v>
      </c>
      <c r="AG26" s="30">
        <f t="shared" si="23"/>
        <v>29.340555771152538</v>
      </c>
      <c r="AH26" s="38"/>
      <c r="AI26" s="38"/>
      <c r="AJ26" s="38"/>
      <c r="AK26" s="38"/>
    </row>
    <row r="27" spans="1:42" x14ac:dyDescent="0.2">
      <c r="A27" s="63" t="s">
        <v>30</v>
      </c>
      <c r="B27" s="20">
        <f>+SUM(B$3:B12)</f>
        <v>127988.18</v>
      </c>
      <c r="C27" s="20">
        <f>+SUM(C$3:C12)</f>
        <v>314222.43000000005</v>
      </c>
      <c r="D27" s="20">
        <f>+SUM(D$3:D12)</f>
        <v>284495.23</v>
      </c>
      <c r="E27" s="64">
        <f>+SUM(E$3:E12)</f>
        <v>69522.640000000014</v>
      </c>
      <c r="F27" s="64">
        <f>+SUM(F$3:F12)</f>
        <v>152612.05000000002</v>
      </c>
      <c r="G27" s="64">
        <f>+SUM(G$3:G12)</f>
        <v>136041.15</v>
      </c>
      <c r="H27" s="22">
        <f t="shared" si="16"/>
        <v>6080.76</v>
      </c>
      <c r="I27" s="65">
        <f>+SUM(I$3:I12)</f>
        <v>1654028.7338962611</v>
      </c>
      <c r="J27" s="65">
        <f>+SUM(J$3:J12)</f>
        <v>3632544.4676008024</v>
      </c>
      <c r="K27" s="65">
        <f>+SUM(K$3:K12)</f>
        <v>3234396.1527899881</v>
      </c>
      <c r="L27" s="24">
        <f t="shared" si="24"/>
        <v>12.923292868890401</v>
      </c>
      <c r="M27" s="24">
        <f t="shared" si="17"/>
        <v>11.560423829708153</v>
      </c>
      <c r="N27" s="24">
        <f t="shared" si="17"/>
        <v>11.368894138541403</v>
      </c>
      <c r="O27" s="66">
        <f>+SUM(O$3:O12)</f>
        <v>3907</v>
      </c>
      <c r="P27" s="66">
        <f>+SUM(P$3:P12)</f>
        <v>4775</v>
      </c>
      <c r="Q27" s="66">
        <f>+SUM(Q$3:Q12)</f>
        <v>4494</v>
      </c>
      <c r="R27" s="26">
        <f t="shared" si="25"/>
        <v>32.758684412592778</v>
      </c>
      <c r="S27" s="26">
        <f t="shared" si="18"/>
        <v>65.805744502617813</v>
      </c>
      <c r="T27" s="26">
        <f t="shared" si="18"/>
        <v>63.305569648420111</v>
      </c>
      <c r="U27" s="27">
        <v>36</v>
      </c>
      <c r="V27" s="25">
        <v>72</v>
      </c>
      <c r="W27" s="25">
        <v>70</v>
      </c>
      <c r="X27" s="27">
        <f t="shared" si="19"/>
        <v>178</v>
      </c>
      <c r="Y27" s="28">
        <f t="shared" si="26"/>
        <v>12.806281376185</v>
      </c>
      <c r="Z27" s="28">
        <f t="shared" si="20"/>
        <v>11.419814229917577</v>
      </c>
      <c r="AA27" s="28">
        <f t="shared" si="21"/>
        <v>11.235674974544963</v>
      </c>
      <c r="AB27" s="46"/>
      <c r="AC27" s="29">
        <f t="shared" si="27"/>
        <v>11.76073959953337</v>
      </c>
      <c r="AD27" s="29">
        <f t="shared" si="22"/>
        <v>29.012971260203596</v>
      </c>
      <c r="AE27" s="46"/>
      <c r="AF27" s="30">
        <f t="shared" si="28"/>
        <v>11.627809001768949</v>
      </c>
      <c r="AG27" s="30">
        <f t="shared" si="23"/>
        <v>29.344651253567271</v>
      </c>
      <c r="AH27" s="38"/>
      <c r="AI27" s="38"/>
      <c r="AJ27" s="38"/>
      <c r="AK27" s="38"/>
    </row>
    <row r="28" spans="1:42" x14ac:dyDescent="0.2">
      <c r="A28" s="63" t="s">
        <v>31</v>
      </c>
      <c r="B28" s="20">
        <f>+SUM(B$3:B13)</f>
        <v>141943.56</v>
      </c>
      <c r="C28" s="20">
        <f>+SUM(C$3:C13)</f>
        <v>337400.99000000005</v>
      </c>
      <c r="D28" s="20">
        <f>+SUM(D$3:D13)</f>
        <v>307751.59999999998</v>
      </c>
      <c r="E28" s="64">
        <f>+SUM(E$3:E13)</f>
        <v>77191.030000000013</v>
      </c>
      <c r="F28" s="64">
        <f>+SUM(F$3:F13)</f>
        <v>164451.65000000002</v>
      </c>
      <c r="G28" s="64">
        <f>+SUM(G$3:G13)</f>
        <v>147772.60999999999</v>
      </c>
      <c r="H28" s="22">
        <f t="shared" si="16"/>
        <v>5970.83</v>
      </c>
      <c r="I28" s="65">
        <f>+SUM(I$3:I13)</f>
        <v>1835801.7465591501</v>
      </c>
      <c r="J28" s="65">
        <f>+SUM(J$3:J13)</f>
        <v>3913192.6559067625</v>
      </c>
      <c r="K28" s="65">
        <f>+SUM(K$3:K13)</f>
        <v>3512480.9694378339</v>
      </c>
      <c r="L28" s="24">
        <f t="shared" si="24"/>
        <v>12.933321853835075</v>
      </c>
      <c r="M28" s="24">
        <f t="shared" si="17"/>
        <v>11.598047343923804</v>
      </c>
      <c r="N28" s="24">
        <f t="shared" si="17"/>
        <v>11.413363795469573</v>
      </c>
      <c r="O28" s="66">
        <f>+SUM(O$3:O13)</f>
        <v>4419</v>
      </c>
      <c r="P28" s="66">
        <f>+SUM(P$3:P13)</f>
        <v>5212</v>
      </c>
      <c r="Q28" s="66">
        <f>+SUM(Q$3:Q13)</f>
        <v>4916</v>
      </c>
      <c r="R28" s="26">
        <f t="shared" si="25"/>
        <v>32.121194840461641</v>
      </c>
      <c r="S28" s="26">
        <f t="shared" si="18"/>
        <v>64.735416346891796</v>
      </c>
      <c r="T28" s="26">
        <f t="shared" si="18"/>
        <v>62.602034174125301</v>
      </c>
      <c r="U28" s="27">
        <v>36</v>
      </c>
      <c r="V28" s="25">
        <v>72</v>
      </c>
      <c r="W28" s="25">
        <v>70</v>
      </c>
      <c r="X28" s="27">
        <f t="shared" si="19"/>
        <v>178</v>
      </c>
      <c r="Y28" s="28">
        <f t="shared" si="26"/>
        <v>12.79329698757574</v>
      </c>
      <c r="Z28" s="28">
        <f t="shared" si="20"/>
        <v>11.433141294998249</v>
      </c>
      <c r="AA28" s="28">
        <f t="shared" si="21"/>
        <v>11.266144275534666</v>
      </c>
      <c r="AB28" s="46"/>
      <c r="AC28" s="29">
        <f t="shared" si="27"/>
        <v>11.795474501030599</v>
      </c>
      <c r="AD28" s="29">
        <f t="shared" si="22"/>
        <v>28.927534875361506</v>
      </c>
      <c r="AE28" s="46"/>
      <c r="AF28" s="30">
        <f t="shared" si="28"/>
        <v>11.642555977977679</v>
      </c>
      <c r="AG28" s="30">
        <f t="shared" si="23"/>
        <v>29.307482020736579</v>
      </c>
      <c r="AH28" s="38"/>
      <c r="AI28" s="38"/>
      <c r="AJ28" s="38"/>
      <c r="AK28" s="38"/>
    </row>
    <row r="29" spans="1:42" s="46" customFormat="1" x14ac:dyDescent="0.2">
      <c r="A29" s="63" t="s">
        <v>32</v>
      </c>
      <c r="B29" s="20">
        <f>+SUM(B$3:B14)</f>
        <v>156082.82</v>
      </c>
      <c r="C29" s="20">
        <f>+SUM(C$3:C14)</f>
        <v>363631.86000000004</v>
      </c>
      <c r="D29" s="20">
        <f>+SUM(D$3:D14)</f>
        <v>335954.32999999996</v>
      </c>
      <c r="E29" s="64">
        <f>+SUM(E$3:E14)</f>
        <v>85154.540000000008</v>
      </c>
      <c r="F29" s="64">
        <f>+SUM(F$3:F14)</f>
        <v>177585.35000000003</v>
      </c>
      <c r="G29" s="64">
        <f>+SUM(G$3:G14)</f>
        <v>161605.96999999997</v>
      </c>
      <c r="H29" s="22">
        <f t="shared" si="16"/>
        <v>5987.01</v>
      </c>
      <c r="I29" s="65">
        <f>+SUM(I$3:I14)</f>
        <v>2025081.8741593971</v>
      </c>
      <c r="J29" s="65">
        <f>+SUM(J$3:J14)</f>
        <v>4225360.0810576528</v>
      </c>
      <c r="K29" s="65">
        <f>+SUM(K$3:K14)</f>
        <v>3841278.2141126259</v>
      </c>
      <c r="L29" s="24">
        <f t="shared" si="24"/>
        <v>12.974405986253945</v>
      </c>
      <c r="M29" s="24">
        <f t="shared" si="17"/>
        <v>11.619884135173558</v>
      </c>
      <c r="N29" s="24">
        <f t="shared" si="17"/>
        <v>11.433929766919885</v>
      </c>
      <c r="O29" s="66">
        <f>+SUM(O$3:O14)</f>
        <v>4920</v>
      </c>
      <c r="P29" s="66">
        <f>+SUM(P$3:P14)</f>
        <v>5628</v>
      </c>
      <c r="Q29" s="66">
        <f>+SUM(Q$3:Q14)</f>
        <v>5379</v>
      </c>
      <c r="R29" s="26">
        <f t="shared" si="25"/>
        <v>31.724150406504066</v>
      </c>
      <c r="S29" s="26">
        <f t="shared" si="18"/>
        <v>64.61120469083157</v>
      </c>
      <c r="T29" s="26">
        <f t="shared" si="18"/>
        <v>62.456651794013752</v>
      </c>
      <c r="U29" s="27">
        <v>36</v>
      </c>
      <c r="V29" s="25">
        <v>72</v>
      </c>
      <c r="W29" s="25">
        <v>70</v>
      </c>
      <c r="X29" s="27">
        <f t="shared" si="19"/>
        <v>178</v>
      </c>
      <c r="Y29" s="28">
        <f t="shared" si="26"/>
        <v>12.820047815928742</v>
      </c>
      <c r="Z29" s="28">
        <f t="shared" si="20"/>
        <v>11.452158481655434</v>
      </c>
      <c r="AA29" s="28">
        <f t="shared" si="21"/>
        <v>11.283817137620758</v>
      </c>
      <c r="AC29" s="29">
        <f t="shared" si="27"/>
        <v>11.820704252370955</v>
      </c>
      <c r="AD29" s="29">
        <f t="shared" si="22"/>
        <v>28.865792825462194</v>
      </c>
      <c r="AF29" s="30">
        <f t="shared" si="28"/>
        <v>11.662608604977972</v>
      </c>
      <c r="AG29" s="30">
        <f t="shared" si="23"/>
        <v>29.257090892543459</v>
      </c>
    </row>
    <row r="30" spans="1:42" s="46" customFormat="1" x14ac:dyDescent="0.2">
      <c r="A30" s="47"/>
      <c r="B30" s="67"/>
      <c r="E30" s="67"/>
      <c r="I30" s="68"/>
      <c r="J30" s="68"/>
      <c r="K30" s="68"/>
      <c r="L30" s="45"/>
      <c r="M30" s="45"/>
      <c r="N30" s="45"/>
      <c r="U30" s="69"/>
      <c r="V30" s="69"/>
      <c r="W30" s="69"/>
      <c r="X30" s="45"/>
      <c r="Y30" s="45"/>
      <c r="Z30" s="45"/>
      <c r="AA30" s="45"/>
    </row>
    <row r="31" spans="1:42" s="46" customFormat="1" ht="21" hidden="1" thickBot="1" x14ac:dyDescent="0.25">
      <c r="A31" s="134" t="s">
        <v>21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6"/>
    </row>
    <row r="32" spans="1:42" s="46" customFormat="1" hidden="1" x14ac:dyDescent="0.2">
      <c r="A32" s="47"/>
      <c r="B32" s="67"/>
      <c r="E32" s="67"/>
      <c r="I32" s="68"/>
      <c r="J32" s="68"/>
      <c r="K32" s="68"/>
      <c r="L32" s="45"/>
      <c r="M32" s="45"/>
      <c r="N32" s="45"/>
      <c r="U32" s="69"/>
      <c r="V32" s="69"/>
      <c r="W32" s="69"/>
      <c r="X32" s="45"/>
      <c r="Y32" s="45"/>
      <c r="Z32" s="45"/>
      <c r="AA32" s="45"/>
    </row>
    <row r="33" spans="1:43" s="46" customFormat="1" hidden="1" x14ac:dyDescent="0.2">
      <c r="A33" s="50" t="s">
        <v>33</v>
      </c>
      <c r="B33" s="51">
        <f>+B20</f>
        <v>63749.47</v>
      </c>
      <c r="C33" s="51">
        <f t="shared" ref="C33:AG33" si="29">+C20</f>
        <v>143748.71</v>
      </c>
      <c r="D33" s="51">
        <f t="shared" si="29"/>
        <v>127181.78</v>
      </c>
      <c r="E33" s="52">
        <f t="shared" si="29"/>
        <v>34523.18</v>
      </c>
      <c r="F33" s="52">
        <f t="shared" si="29"/>
        <v>69236.179999999993</v>
      </c>
      <c r="G33" s="52">
        <f t="shared" si="29"/>
        <v>60760.05</v>
      </c>
      <c r="H33" s="53">
        <f t="shared" si="29"/>
        <v>5907.93</v>
      </c>
      <c r="I33" s="54">
        <f t="shared" si="29"/>
        <v>823499.63814876904</v>
      </c>
      <c r="J33" s="54">
        <f t="shared" si="29"/>
        <v>1655652.0553760401</v>
      </c>
      <c r="K33" s="54">
        <f t="shared" si="29"/>
        <v>1449895.0896115564</v>
      </c>
      <c r="L33" s="55">
        <f t="shared" si="29"/>
        <v>12.917748777343075</v>
      </c>
      <c r="M33" s="55">
        <f t="shared" si="29"/>
        <v>11.517682874343986</v>
      </c>
      <c r="N33" s="55">
        <f t="shared" si="29"/>
        <v>11.400179252181848</v>
      </c>
      <c r="O33" s="56">
        <f t="shared" si="29"/>
        <v>1888</v>
      </c>
      <c r="P33" s="56">
        <f t="shared" si="29"/>
        <v>2101</v>
      </c>
      <c r="Q33" s="56">
        <f t="shared" si="29"/>
        <v>2071</v>
      </c>
      <c r="R33" s="57">
        <f t="shared" si="29"/>
        <v>33.765609110169493</v>
      </c>
      <c r="S33" s="57">
        <f t="shared" si="29"/>
        <v>68.419186101856255</v>
      </c>
      <c r="T33" s="57">
        <f t="shared" si="29"/>
        <v>61.410806373732498</v>
      </c>
      <c r="U33" s="58">
        <f t="shared" si="29"/>
        <v>36</v>
      </c>
      <c r="V33" s="59">
        <f t="shared" si="29"/>
        <v>72</v>
      </c>
      <c r="W33" s="59">
        <f t="shared" si="29"/>
        <v>70</v>
      </c>
      <c r="X33" s="58">
        <f t="shared" si="29"/>
        <v>178</v>
      </c>
      <c r="Y33" s="60">
        <f t="shared" si="29"/>
        <v>12.837087266220193</v>
      </c>
      <c r="Z33" s="60">
        <f t="shared" si="29"/>
        <v>11.436398398856124</v>
      </c>
      <c r="AA33" s="60">
        <f t="shared" si="29"/>
        <v>11.229254299019125</v>
      </c>
      <c r="AC33" s="61">
        <f t="shared" si="29"/>
        <v>11.754632980841837</v>
      </c>
      <c r="AD33" s="61">
        <f t="shared" si="29"/>
        <v>29.028043713157526</v>
      </c>
      <c r="AE33" s="46">
        <f t="shared" si="29"/>
        <v>0</v>
      </c>
      <c r="AF33" s="62">
        <f t="shared" si="29"/>
        <v>11.638222624903969</v>
      </c>
      <c r="AG33" s="62">
        <f t="shared" si="29"/>
        <v>29.318394311332007</v>
      </c>
    </row>
    <row r="34" spans="1:43" s="46" customFormat="1" hidden="1" x14ac:dyDescent="0.2">
      <c r="A34" s="50" t="s">
        <v>34</v>
      </c>
      <c r="B34" s="51">
        <f>+B23</f>
        <v>107815.17</v>
      </c>
      <c r="C34" s="51">
        <f t="shared" ref="C34:AG34" si="30">+C23</f>
        <v>272386.27</v>
      </c>
      <c r="D34" s="51">
        <f t="shared" si="30"/>
        <v>255424.4</v>
      </c>
      <c r="E34" s="52">
        <f t="shared" si="30"/>
        <v>58673.450000000004</v>
      </c>
      <c r="F34" s="52">
        <f t="shared" si="30"/>
        <v>131696.1</v>
      </c>
      <c r="G34" s="52">
        <f t="shared" si="30"/>
        <v>122259.41</v>
      </c>
      <c r="H34" s="53">
        <f t="shared" si="30"/>
        <v>5974.02</v>
      </c>
      <c r="I34" s="54">
        <f t="shared" si="30"/>
        <v>1391055.5773712052</v>
      </c>
      <c r="J34" s="54">
        <f t="shared" si="30"/>
        <v>3128343.3529728344</v>
      </c>
      <c r="K34" s="54">
        <f t="shared" si="30"/>
        <v>2900043.6290162313</v>
      </c>
      <c r="L34" s="55">
        <f t="shared" si="30"/>
        <v>12.902224959355953</v>
      </c>
      <c r="M34" s="55">
        <f t="shared" si="30"/>
        <v>11.484952427935646</v>
      </c>
      <c r="N34" s="55">
        <f t="shared" si="30"/>
        <v>11.353823789020279</v>
      </c>
      <c r="O34" s="56">
        <f t="shared" si="30"/>
        <v>3230</v>
      </c>
      <c r="P34" s="56">
        <f t="shared" si="30"/>
        <v>4044</v>
      </c>
      <c r="Q34" s="56">
        <f t="shared" si="30"/>
        <v>4027</v>
      </c>
      <c r="R34" s="57">
        <f t="shared" si="30"/>
        <v>33.379309597523218</v>
      </c>
      <c r="S34" s="57">
        <f t="shared" si="30"/>
        <v>67.355655291790313</v>
      </c>
      <c r="T34" s="57">
        <f t="shared" si="30"/>
        <v>63.427961261484974</v>
      </c>
      <c r="U34" s="58">
        <f t="shared" si="30"/>
        <v>36</v>
      </c>
      <c r="V34" s="59">
        <f t="shared" si="30"/>
        <v>72</v>
      </c>
      <c r="W34" s="59">
        <f t="shared" si="30"/>
        <v>70</v>
      </c>
      <c r="X34" s="58">
        <f t="shared" si="30"/>
        <v>178</v>
      </c>
      <c r="Y34" s="60">
        <f t="shared" si="30"/>
        <v>12.807618035826541</v>
      </c>
      <c r="Z34" s="60">
        <f t="shared" si="30"/>
        <v>11.379525803059286</v>
      </c>
      <c r="AA34" s="60">
        <f t="shared" si="30"/>
        <v>11.223040218123829</v>
      </c>
      <c r="AC34" s="61">
        <f t="shared" si="30"/>
        <v>11.720024374042698</v>
      </c>
      <c r="AD34" s="61">
        <f t="shared" si="30"/>
        <v>29.113761977809084</v>
      </c>
      <c r="AE34" s="46">
        <f t="shared" si="30"/>
        <v>0</v>
      </c>
      <c r="AF34" s="62">
        <f t="shared" si="30"/>
        <v>11.60681417066681</v>
      </c>
      <c r="AG34" s="62">
        <f t="shared" si="30"/>
        <v>29.397730934844223</v>
      </c>
    </row>
    <row r="35" spans="1:43" s="46" customFormat="1" hidden="1" x14ac:dyDescent="0.2">
      <c r="A35" s="50" t="s">
        <v>35</v>
      </c>
      <c r="B35" s="51">
        <f>+B26</f>
        <v>115185</v>
      </c>
      <c r="C35" s="51">
        <f t="shared" ref="C35:AG35" si="31">+C26</f>
        <v>287607.65000000008</v>
      </c>
      <c r="D35" s="51">
        <f t="shared" si="31"/>
        <v>261328.98</v>
      </c>
      <c r="E35" s="52">
        <f t="shared" si="31"/>
        <v>62796.910000000011</v>
      </c>
      <c r="F35" s="52">
        <f t="shared" si="31"/>
        <v>139542.62000000002</v>
      </c>
      <c r="G35" s="52">
        <f t="shared" si="31"/>
        <v>125197.73</v>
      </c>
      <c r="H35" s="53">
        <f t="shared" si="31"/>
        <v>6137.51</v>
      </c>
      <c r="I35" s="54">
        <f t="shared" si="31"/>
        <v>1491665.4605757052</v>
      </c>
      <c r="J35" s="54">
        <f t="shared" si="31"/>
        <v>3317040.3609486064</v>
      </c>
      <c r="K35" s="54">
        <f t="shared" si="31"/>
        <v>2972629.3014311641</v>
      </c>
      <c r="L35" s="55">
        <f t="shared" si="31"/>
        <v>12.950171121028825</v>
      </c>
      <c r="M35" s="55">
        <f t="shared" si="31"/>
        <v>11.533213254058456</v>
      </c>
      <c r="N35" s="55">
        <f t="shared" si="31"/>
        <v>11.375046508164399</v>
      </c>
      <c r="O35" s="56">
        <f t="shared" si="31"/>
        <v>3509</v>
      </c>
      <c r="P35" s="56">
        <f t="shared" si="31"/>
        <v>4333</v>
      </c>
      <c r="Q35" s="56">
        <f t="shared" si="31"/>
        <v>4136</v>
      </c>
      <c r="R35" s="57">
        <f t="shared" si="31"/>
        <v>32.825591336563122</v>
      </c>
      <c r="S35" s="57">
        <f t="shared" si="31"/>
        <v>66.376102007846782</v>
      </c>
      <c r="T35" s="57">
        <f t="shared" si="31"/>
        <v>63.183989361702132</v>
      </c>
      <c r="U35" s="58">
        <f t="shared" si="31"/>
        <v>36</v>
      </c>
      <c r="V35" s="59">
        <f t="shared" si="31"/>
        <v>72</v>
      </c>
      <c r="W35" s="59">
        <f t="shared" si="31"/>
        <v>70</v>
      </c>
      <c r="X35" s="58">
        <f t="shared" si="31"/>
        <v>178</v>
      </c>
      <c r="Y35" s="60">
        <f t="shared" si="31"/>
        <v>12.835574968278754</v>
      </c>
      <c r="Z35" s="60">
        <f t="shared" si="31"/>
        <v>11.405550769636578</v>
      </c>
      <c r="AA35" s="60">
        <f t="shared" si="31"/>
        <v>11.239407896462271</v>
      </c>
      <c r="AC35" s="61">
        <f t="shared" si="31"/>
        <v>11.757588596745812</v>
      </c>
      <c r="AD35" s="61">
        <f t="shared" si="31"/>
        <v>29.020746660113534</v>
      </c>
      <c r="AE35" s="46">
        <f t="shared" si="31"/>
        <v>0</v>
      </c>
      <c r="AF35" s="62">
        <f t="shared" si="31"/>
        <v>11.629432061933864</v>
      </c>
      <c r="AG35" s="62">
        <f t="shared" si="31"/>
        <v>29.340555771152538</v>
      </c>
    </row>
    <row r="36" spans="1:43" s="46" customFormat="1" hidden="1" x14ac:dyDescent="0.2">
      <c r="A36" s="50" t="s">
        <v>36</v>
      </c>
      <c r="B36" s="51"/>
      <c r="C36" s="51"/>
      <c r="D36" s="51"/>
      <c r="E36" s="52"/>
      <c r="F36" s="52"/>
      <c r="G36" s="52"/>
      <c r="H36" s="53"/>
      <c r="I36" s="54"/>
      <c r="J36" s="54"/>
      <c r="K36" s="54"/>
      <c r="L36" s="55"/>
      <c r="M36" s="55"/>
      <c r="N36" s="55"/>
      <c r="O36" s="56"/>
      <c r="P36" s="56"/>
      <c r="Q36" s="56"/>
      <c r="R36" s="57"/>
      <c r="S36" s="57"/>
      <c r="T36" s="57"/>
      <c r="U36" s="58"/>
      <c r="V36" s="59"/>
      <c r="W36" s="59"/>
      <c r="X36" s="58"/>
      <c r="Y36" s="60"/>
      <c r="Z36" s="60"/>
      <c r="AA36" s="60"/>
      <c r="AC36" s="61"/>
      <c r="AD36" s="61"/>
      <c r="AF36" s="62"/>
      <c r="AG36" s="62"/>
    </row>
    <row r="37" spans="1:43" s="46" customFormat="1" hidden="1" x14ac:dyDescent="0.2">
      <c r="A37" s="47"/>
      <c r="B37" s="67"/>
      <c r="E37" s="67"/>
      <c r="I37" s="68"/>
      <c r="J37" s="68"/>
      <c r="K37" s="68"/>
      <c r="L37" s="45"/>
      <c r="M37" s="45"/>
      <c r="N37" s="45"/>
      <c r="U37" s="69"/>
      <c r="V37" s="69"/>
      <c r="W37" s="69"/>
      <c r="X37" s="45"/>
      <c r="Y37" s="45"/>
      <c r="Z37" s="45"/>
      <c r="AA37" s="45"/>
    </row>
    <row r="38" spans="1:43" s="46" customFormat="1" hidden="1" x14ac:dyDescent="0.2">
      <c r="A38" s="47"/>
      <c r="B38" s="67"/>
      <c r="E38" s="67"/>
      <c r="I38" s="68"/>
      <c r="J38" s="68"/>
      <c r="K38" s="68"/>
      <c r="L38" s="45"/>
      <c r="M38" s="45"/>
      <c r="N38" s="45"/>
      <c r="U38" s="69"/>
      <c r="V38" s="69"/>
      <c r="W38" s="69"/>
      <c r="X38" s="45"/>
      <c r="Y38" s="45"/>
      <c r="Z38" s="45"/>
      <c r="AA38" s="45"/>
    </row>
    <row r="39" spans="1:43" s="46" customFormat="1" hidden="1" x14ac:dyDescent="0.2">
      <c r="A39" s="47"/>
      <c r="B39" s="67"/>
      <c r="E39" s="67"/>
      <c r="I39" s="68"/>
      <c r="J39" s="68"/>
      <c r="K39" s="68"/>
      <c r="L39" s="45"/>
      <c r="M39" s="45"/>
      <c r="N39" s="45"/>
      <c r="U39" s="69"/>
      <c r="V39" s="69"/>
      <c r="W39" s="69"/>
      <c r="X39" s="45"/>
      <c r="Y39" s="45"/>
      <c r="Z39" s="45"/>
      <c r="AA39" s="45"/>
      <c r="AF39" s="45"/>
      <c r="AG39" s="45"/>
    </row>
    <row r="40" spans="1:43" s="46" customFormat="1" hidden="1" x14ac:dyDescent="0.2">
      <c r="A40" s="4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 spans="1:43" s="46" customFormat="1" hidden="1" x14ac:dyDescent="0.2">
      <c r="A41" s="47"/>
      <c r="B41" s="67"/>
      <c r="E41" s="67"/>
      <c r="I41" s="68"/>
      <c r="J41" s="68"/>
      <c r="K41" s="68"/>
      <c r="L41" s="45"/>
      <c r="M41" s="45"/>
      <c r="N41" s="45"/>
      <c r="U41" s="69"/>
      <c r="V41" s="69"/>
      <c r="W41" s="69"/>
      <c r="X41" s="45"/>
      <c r="Y41" s="45"/>
      <c r="Z41" s="45"/>
      <c r="AA41" s="45"/>
      <c r="AF41" s="45"/>
      <c r="AG41" s="45"/>
    </row>
    <row r="42" spans="1:43" s="46" customFormat="1" hidden="1" x14ac:dyDescent="0.2">
      <c r="A42" s="4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70"/>
      <c r="AG42" s="67"/>
    </row>
    <row r="43" spans="1:43" s="46" customFormat="1" hidden="1" x14ac:dyDescent="0.2">
      <c r="A43" s="4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 spans="1:43" s="46" customFormat="1" hidden="1" x14ac:dyDescent="0.2">
      <c r="A44" s="71"/>
      <c r="B44" s="67"/>
      <c r="C44" s="72"/>
      <c r="D44" s="72"/>
      <c r="E44" s="67"/>
      <c r="F44" s="72"/>
      <c r="G44" s="72"/>
      <c r="H44" s="72"/>
      <c r="I44" s="73"/>
      <c r="J44" s="73"/>
      <c r="K44" s="73"/>
      <c r="L44" s="72"/>
      <c r="M44" s="72"/>
      <c r="N44" s="72"/>
      <c r="O44" s="72"/>
      <c r="P44" s="72"/>
      <c r="Q44" s="72"/>
      <c r="R44" s="72"/>
      <c r="S44" s="72"/>
      <c r="T44" s="72"/>
      <c r="U44" s="74"/>
      <c r="V44" s="74"/>
      <c r="W44" s="74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1:43" s="46" customFormat="1" hidden="1" x14ac:dyDescent="0.2">
      <c r="A45" s="47"/>
      <c r="B45" s="67"/>
      <c r="E45" s="67"/>
      <c r="I45" s="68"/>
      <c r="J45" s="68"/>
      <c r="K45" s="68"/>
      <c r="L45" s="45"/>
      <c r="M45" s="45"/>
      <c r="N45" s="45"/>
      <c r="U45" s="69"/>
      <c r="V45" s="69"/>
      <c r="W45" s="69"/>
      <c r="X45" s="45"/>
      <c r="Y45" s="45"/>
      <c r="Z45" s="45"/>
      <c r="AA45" s="45"/>
    </row>
    <row r="46" spans="1:43" s="46" customFormat="1" hidden="1" x14ac:dyDescent="0.2">
      <c r="A46" s="47"/>
      <c r="B46" s="67"/>
      <c r="E46" s="67"/>
      <c r="I46" s="68"/>
      <c r="J46" s="68"/>
      <c r="K46" s="68"/>
      <c r="L46" s="45"/>
      <c r="M46" s="45"/>
      <c r="N46" s="45"/>
      <c r="U46" s="69"/>
      <c r="V46" s="69"/>
      <c r="W46" s="69"/>
      <c r="X46" s="45"/>
      <c r="Y46" s="45"/>
      <c r="Z46" s="45"/>
      <c r="AA46" s="45"/>
    </row>
    <row r="47" spans="1:43" s="38" customFormat="1" hidden="1" x14ac:dyDescent="0.2">
      <c r="A47" s="47"/>
      <c r="B47" s="67"/>
      <c r="C47" s="67"/>
      <c r="D47" s="67"/>
      <c r="E47" s="72"/>
      <c r="F47" s="72"/>
      <c r="G47" s="72"/>
      <c r="H47" s="45"/>
      <c r="I47" s="68"/>
      <c r="J47" s="68"/>
      <c r="K47" s="68"/>
      <c r="L47" s="43"/>
      <c r="M47" s="43"/>
      <c r="N47" s="43"/>
      <c r="O47" s="75"/>
      <c r="P47" s="75"/>
      <c r="Q47" s="75"/>
      <c r="R47" s="45"/>
      <c r="S47" s="45"/>
      <c r="T47" s="45"/>
      <c r="U47" s="76"/>
      <c r="V47" s="75"/>
      <c r="W47" s="75"/>
      <c r="X47" s="76"/>
      <c r="Y47" s="45"/>
      <c r="Z47" s="45"/>
      <c r="AA47" s="45"/>
      <c r="AB47" s="75"/>
      <c r="AC47" s="77"/>
      <c r="AD47" s="77"/>
      <c r="AE47" s="75"/>
      <c r="AF47" s="78"/>
      <c r="AG47" s="78"/>
      <c r="AH47" s="46"/>
      <c r="AI47" s="46"/>
      <c r="AJ47" s="46"/>
      <c r="AK47" s="46"/>
      <c r="AL47" s="46"/>
      <c r="AM47" s="46"/>
      <c r="AN47" s="46"/>
      <c r="AO47" s="46"/>
      <c r="AP47" s="46"/>
      <c r="AQ47" s="46"/>
    </row>
    <row r="48" spans="1:43" s="46" customFormat="1" hidden="1" x14ac:dyDescent="0.2">
      <c r="A48" s="47"/>
      <c r="B48" s="67"/>
      <c r="E48" s="67"/>
      <c r="I48" s="68"/>
      <c r="J48" s="68"/>
      <c r="K48" s="68"/>
      <c r="L48" s="45"/>
      <c r="M48" s="45"/>
      <c r="N48" s="45"/>
      <c r="U48" s="69"/>
      <c r="V48" s="69"/>
      <c r="W48" s="69"/>
      <c r="X48" s="45"/>
      <c r="Y48" s="45"/>
      <c r="Z48" s="45"/>
      <c r="AA48" s="45"/>
    </row>
    <row r="49" spans="1:33" s="46" customFormat="1" hidden="1" x14ac:dyDescent="0.2">
      <c r="A49" s="79"/>
      <c r="B49" s="67"/>
      <c r="C49" s="67"/>
      <c r="D49" s="67"/>
      <c r="E49" s="67"/>
      <c r="F49" s="67"/>
      <c r="G49" s="67"/>
      <c r="H49" s="45"/>
      <c r="I49" s="67"/>
      <c r="J49" s="67"/>
      <c r="K49" s="67"/>
      <c r="L49" s="43"/>
      <c r="M49" s="43"/>
      <c r="N49" s="43"/>
      <c r="O49" s="80"/>
      <c r="P49" s="80"/>
      <c r="Q49" s="80"/>
      <c r="R49" s="45"/>
      <c r="S49" s="45"/>
      <c r="T49" s="45"/>
      <c r="U49" s="76"/>
      <c r="V49" s="75"/>
      <c r="W49" s="75"/>
      <c r="X49" s="76"/>
      <c r="Y49" s="45"/>
      <c r="Z49" s="45"/>
      <c r="AA49" s="45"/>
      <c r="AC49" s="77"/>
      <c r="AD49" s="77"/>
      <c r="AF49" s="78"/>
      <c r="AG49" s="78"/>
    </row>
    <row r="50" spans="1:33" s="46" customFormat="1" hidden="1" x14ac:dyDescent="0.2">
      <c r="A50" s="47"/>
      <c r="B50" s="67"/>
      <c r="E50" s="67"/>
      <c r="I50" s="68"/>
      <c r="J50" s="68"/>
      <c r="K50" s="68"/>
      <c r="L50" s="45"/>
      <c r="M50" s="45"/>
      <c r="N50" s="45"/>
      <c r="U50" s="69"/>
      <c r="V50" s="69"/>
      <c r="W50" s="69"/>
      <c r="X50" s="45"/>
      <c r="Y50" s="45"/>
      <c r="Z50" s="45"/>
      <c r="AA50" s="45"/>
    </row>
    <row r="51" spans="1:33" s="46" customFormat="1" hidden="1" x14ac:dyDescent="0.2">
      <c r="A51" s="47"/>
      <c r="B51" s="67"/>
      <c r="E51" s="67"/>
      <c r="I51" s="68"/>
      <c r="J51" s="68"/>
      <c r="K51" s="68"/>
      <c r="L51" s="45"/>
      <c r="M51" s="45"/>
      <c r="N51" s="45"/>
      <c r="U51" s="69"/>
      <c r="V51" s="69"/>
      <c r="W51" s="69"/>
      <c r="X51" s="45"/>
      <c r="Y51" s="45"/>
      <c r="Z51" s="45"/>
      <c r="AA51" s="45"/>
    </row>
    <row r="52" spans="1:33" s="46" customFormat="1" hidden="1" x14ac:dyDescent="0.2">
      <c r="A52" s="47"/>
      <c r="B52" s="67"/>
      <c r="E52" s="67"/>
      <c r="I52" s="68"/>
      <c r="J52" s="68"/>
      <c r="K52" s="68"/>
      <c r="L52" s="45"/>
      <c r="M52" s="45"/>
      <c r="N52" s="45"/>
      <c r="U52" s="69"/>
      <c r="V52" s="69"/>
      <c r="W52" s="69"/>
      <c r="X52" s="45"/>
      <c r="Y52" s="45"/>
      <c r="Z52" s="45"/>
      <c r="AA52" s="45"/>
    </row>
    <row r="53" spans="1:33" s="46" customFormat="1" hidden="1" x14ac:dyDescent="0.2">
      <c r="A53" s="47"/>
      <c r="B53" s="67"/>
      <c r="E53" s="67"/>
      <c r="I53" s="68"/>
      <c r="J53" s="68"/>
      <c r="K53" s="68"/>
      <c r="L53" s="45"/>
      <c r="M53" s="45"/>
      <c r="N53" s="45"/>
      <c r="U53" s="69"/>
      <c r="V53" s="69"/>
      <c r="W53" s="69"/>
      <c r="X53" s="45"/>
      <c r="Y53" s="45"/>
      <c r="Z53" s="45"/>
      <c r="AA53" s="45"/>
    </row>
    <row r="54" spans="1:33" s="46" customFormat="1" hidden="1" x14ac:dyDescent="0.2">
      <c r="A54" s="47"/>
      <c r="D54"/>
      <c r="E54"/>
      <c r="F54" s="151">
        <v>2019</v>
      </c>
      <c r="G54" s="152"/>
      <c r="H54" s="152"/>
      <c r="I54" s="152"/>
      <c r="J54" s="153"/>
      <c r="K54" s="17"/>
      <c r="L54" s="151">
        <v>2020</v>
      </c>
      <c r="M54" s="152"/>
      <c r="N54" s="152"/>
      <c r="O54" s="152"/>
      <c r="P54" s="152"/>
      <c r="Q54" s="153"/>
      <c r="R54" s="81" t="s">
        <v>37</v>
      </c>
      <c r="S54" s="81" t="s">
        <v>37</v>
      </c>
      <c r="T54" s="81" t="s">
        <v>37</v>
      </c>
      <c r="V54" s="69"/>
      <c r="W54" s="69"/>
      <c r="X54" s="69"/>
      <c r="Y54" s="45"/>
      <c r="Z54" s="45"/>
      <c r="AA54" s="45"/>
      <c r="AB54" s="45"/>
      <c r="AE54" s="45"/>
    </row>
    <row r="55" spans="1:33" s="46" customFormat="1" ht="76.5" hidden="1" x14ac:dyDescent="0.2">
      <c r="A55" s="47"/>
      <c r="D55" s="82" t="s">
        <v>38</v>
      </c>
      <c r="E55" s="82" t="s">
        <v>39</v>
      </c>
      <c r="F55" s="83" t="s">
        <v>40</v>
      </c>
      <c r="G55" s="84" t="s">
        <v>41</v>
      </c>
      <c r="H55" s="84" t="s">
        <v>42</v>
      </c>
      <c r="I55" s="84" t="s">
        <v>43</v>
      </c>
      <c r="J55" s="84" t="s">
        <v>44</v>
      </c>
      <c r="K55" s="85"/>
      <c r="L55" s="83" t="s">
        <v>40</v>
      </c>
      <c r="M55" s="84" t="s">
        <v>45</v>
      </c>
      <c r="N55" s="84" t="s">
        <v>42</v>
      </c>
      <c r="O55" s="84" t="s">
        <v>43</v>
      </c>
      <c r="P55" s="84" t="s">
        <v>46</v>
      </c>
      <c r="Q55" s="84" t="s">
        <v>44</v>
      </c>
      <c r="R55" s="86" t="s">
        <v>47</v>
      </c>
      <c r="S55" s="86" t="s">
        <v>48</v>
      </c>
      <c r="T55" s="86" t="s">
        <v>49</v>
      </c>
      <c r="U55" s="45"/>
      <c r="V55" s="87"/>
      <c r="W55" s="87"/>
      <c r="X55" s="87"/>
    </row>
    <row r="56" spans="1:33" s="46" customFormat="1" hidden="1" x14ac:dyDescent="0.2">
      <c r="A56" s="47"/>
      <c r="D56" s="88">
        <v>11.745929991681962</v>
      </c>
      <c r="E56" s="88">
        <v>11.573937599451058</v>
      </c>
      <c r="F56" s="89">
        <v>43466</v>
      </c>
      <c r="G56" s="90">
        <v>11.75</v>
      </c>
      <c r="H56" s="90">
        <f>+N56</f>
        <v>6057.2015459332861</v>
      </c>
      <c r="I56" s="91">
        <f>+ROUND(H56*(3.97/1000),2)</f>
        <v>24.05</v>
      </c>
      <c r="J56" s="90">
        <f>+ROUND(G56*P56/I56,2)</f>
        <v>54773.99</v>
      </c>
      <c r="K56" s="90"/>
      <c r="L56" s="92">
        <v>43831</v>
      </c>
      <c r="M56" s="90">
        <f t="shared" ref="M56:M67" si="32">+AC3</f>
        <v>12.10288523798744</v>
      </c>
      <c r="N56" s="90">
        <f t="shared" ref="N56:N67" si="33">+H3</f>
        <v>6057.2015459332861</v>
      </c>
      <c r="O56" s="91">
        <f>+ROUND(N56*(3.97/1000),2)</f>
        <v>24.05</v>
      </c>
      <c r="P56" s="93">
        <f t="shared" ref="P56:P67" si="34">+B3+C3+D3</f>
        <v>112111.86</v>
      </c>
      <c r="Q56" s="93">
        <f t="shared" ref="Q56:Q67" si="35">+E3+F3+G3</f>
        <v>56302</v>
      </c>
      <c r="R56" s="94">
        <f>+J56-Q56</f>
        <v>-1528.010000000002</v>
      </c>
      <c r="S56" s="95">
        <f>+R56/J56</f>
        <v>-2.7896634880898802E-2</v>
      </c>
      <c r="T56" s="96">
        <f>(SUM(R$56)/SUM(J$56))</f>
        <v>-2.7896634880898802E-2</v>
      </c>
      <c r="V56" s="87"/>
      <c r="W56" s="87"/>
      <c r="X56" s="87"/>
      <c r="Y56" s="97"/>
    </row>
    <row r="57" spans="1:33" s="46" customFormat="1" hidden="1" x14ac:dyDescent="0.2">
      <c r="A57" s="47"/>
      <c r="D57" s="88">
        <v>12.117264133716411</v>
      </c>
      <c r="E57" s="88">
        <v>11.885582243739904</v>
      </c>
      <c r="F57" s="89">
        <v>43497</v>
      </c>
      <c r="G57" s="90">
        <v>12.12</v>
      </c>
      <c r="H57" s="90">
        <f t="shared" ref="H57:H67" si="36">+N57</f>
        <v>6096.32</v>
      </c>
      <c r="I57" s="91">
        <f t="shared" ref="I57:I62" si="37">+ROUND(H57*(3.97/1000),2)</f>
        <v>24.2</v>
      </c>
      <c r="J57" s="90">
        <f t="shared" ref="J57:J67" si="38">+ROUND(G57*P57/I57,2)</f>
        <v>51590.17</v>
      </c>
      <c r="K57" s="90"/>
      <c r="L57" s="92">
        <v>43862</v>
      </c>
      <c r="M57" s="90">
        <f t="shared" si="32"/>
        <v>11.651686774208031</v>
      </c>
      <c r="N57" s="90">
        <f t="shared" si="33"/>
        <v>6096.32</v>
      </c>
      <c r="O57" s="91">
        <f t="shared" ref="O57:O67" si="39">+ROUND(N57*(3.97/1000),2)</f>
        <v>24.2</v>
      </c>
      <c r="P57" s="93">
        <f t="shared" si="34"/>
        <v>103010.07</v>
      </c>
      <c r="Q57" s="93">
        <f t="shared" si="35"/>
        <v>49423.45</v>
      </c>
      <c r="R57" s="94">
        <f>+J57-Q57</f>
        <v>2166.7200000000012</v>
      </c>
      <c r="S57" s="95">
        <f t="shared" ref="S57:S67" si="40">+R57/J57</f>
        <v>4.1998698589285538E-2</v>
      </c>
      <c r="T57" s="96">
        <f>(SUM(R$56:R57)/SUM(J$56:J57))</f>
        <v>6.0049362492027303E-3</v>
      </c>
      <c r="V57" s="87"/>
      <c r="W57" s="87"/>
      <c r="X57" s="87"/>
      <c r="Y57" s="97"/>
    </row>
    <row r="58" spans="1:33" s="46" customFormat="1" hidden="1" x14ac:dyDescent="0.2">
      <c r="A58" s="47"/>
      <c r="D58" s="88">
        <v>12.331778271635921</v>
      </c>
      <c r="E58" s="88">
        <v>11.749508172262697</v>
      </c>
      <c r="F58" s="89">
        <v>43525</v>
      </c>
      <c r="G58" s="90">
        <v>12.33</v>
      </c>
      <c r="H58" s="90">
        <f t="shared" si="36"/>
        <v>5907.93</v>
      </c>
      <c r="I58" s="91">
        <f t="shared" si="37"/>
        <v>23.45</v>
      </c>
      <c r="J58" s="90">
        <f t="shared" si="38"/>
        <v>62863.56</v>
      </c>
      <c r="K58" s="90"/>
      <c r="L58" s="92">
        <v>43891</v>
      </c>
      <c r="M58" s="90">
        <f t="shared" si="32"/>
        <v>11.524820170344555</v>
      </c>
      <c r="N58" s="90">
        <f t="shared" si="33"/>
        <v>5907.93</v>
      </c>
      <c r="O58" s="91">
        <f t="shared" si="39"/>
        <v>23.45</v>
      </c>
      <c r="P58" s="93">
        <f t="shared" si="34"/>
        <v>119558.03</v>
      </c>
      <c r="Q58" s="93">
        <f t="shared" si="35"/>
        <v>58793.96</v>
      </c>
      <c r="R58" s="94">
        <f t="shared" ref="R58:R67" si="41">+J58-Q58</f>
        <v>4069.5999999999985</v>
      </c>
      <c r="S58" s="95">
        <f t="shared" si="40"/>
        <v>6.4737027301667277E-2</v>
      </c>
      <c r="T58" s="96">
        <f>(SUM(R$56:R58)/SUM(J$56:J58))</f>
        <v>2.7822333126038674E-2</v>
      </c>
      <c r="V58" s="87"/>
      <c r="W58" s="87"/>
      <c r="X58" s="87"/>
    </row>
    <row r="59" spans="1:33" s="46" customFormat="1" hidden="1" x14ac:dyDescent="0.2">
      <c r="D59" s="88">
        <v>11.557879701300799</v>
      </c>
      <c r="E59" s="88">
        <v>11.136242538948213</v>
      </c>
      <c r="F59" s="89">
        <v>43556</v>
      </c>
      <c r="G59" s="90">
        <v>11.56</v>
      </c>
      <c r="H59" s="90">
        <f t="shared" si="36"/>
        <v>5960.14</v>
      </c>
      <c r="I59" s="91">
        <f t="shared" si="37"/>
        <v>23.66</v>
      </c>
      <c r="J59" s="90">
        <f t="shared" si="38"/>
        <v>50502.01</v>
      </c>
      <c r="K59" s="98"/>
      <c r="L59" s="92">
        <v>43922</v>
      </c>
      <c r="M59" s="90">
        <f t="shared" si="32"/>
        <v>11.592616417062967</v>
      </c>
      <c r="N59" s="90">
        <f t="shared" si="33"/>
        <v>5960.14</v>
      </c>
      <c r="O59" s="91">
        <f t="shared" si="39"/>
        <v>23.66</v>
      </c>
      <c r="P59" s="93">
        <f t="shared" si="34"/>
        <v>103363.12</v>
      </c>
      <c r="Q59" s="93">
        <f t="shared" si="35"/>
        <v>50596.399999999994</v>
      </c>
      <c r="R59" s="94">
        <f t="shared" si="41"/>
        <v>-94.389999999992142</v>
      </c>
      <c r="S59" s="95">
        <f t="shared" si="40"/>
        <v>-1.8690345196159942E-3</v>
      </c>
      <c r="T59" s="96">
        <f>(SUM(R$56:R59)/SUM(J$56:J59))</f>
        <v>2.0998159875771045E-2</v>
      </c>
      <c r="V59" s="87"/>
      <c r="W59" s="87"/>
      <c r="X59" s="87"/>
    </row>
    <row r="60" spans="1:33" s="46" customFormat="1" hidden="1" x14ac:dyDescent="0.2">
      <c r="D60" s="88">
        <v>11.762483892232069</v>
      </c>
      <c r="E60" s="88">
        <v>11.484409722129062</v>
      </c>
      <c r="F60" s="89">
        <v>43586</v>
      </c>
      <c r="G60" s="90">
        <v>11.76</v>
      </c>
      <c r="H60" s="90">
        <f t="shared" si="36"/>
        <v>5884.77</v>
      </c>
      <c r="I60" s="91">
        <f t="shared" si="37"/>
        <v>23.36</v>
      </c>
      <c r="J60" s="90">
        <f t="shared" si="38"/>
        <v>55641.760000000002</v>
      </c>
      <c r="K60" s="98"/>
      <c r="L60" s="92">
        <v>43952</v>
      </c>
      <c r="M60" s="90">
        <f t="shared" si="32"/>
        <v>11.621921552860663</v>
      </c>
      <c r="N60" s="90">
        <f t="shared" si="33"/>
        <v>5884.77</v>
      </c>
      <c r="O60" s="91">
        <f t="shared" si="39"/>
        <v>23.36</v>
      </c>
      <c r="P60" s="93">
        <f t="shared" si="34"/>
        <v>110526.48000000001</v>
      </c>
      <c r="Q60" s="93">
        <f t="shared" si="35"/>
        <v>55061.569999999992</v>
      </c>
      <c r="R60" s="94">
        <f t="shared" si="41"/>
        <v>580.1900000000096</v>
      </c>
      <c r="S60" s="95">
        <f t="shared" si="40"/>
        <v>1.0427240259833794E-2</v>
      </c>
      <c r="T60" s="96">
        <f>(SUM(R$56:R60)/SUM(J$56:J60))</f>
        <v>1.8862192306109887E-2</v>
      </c>
      <c r="V60" s="87"/>
      <c r="W60" s="87"/>
      <c r="X60" s="87"/>
    </row>
    <row r="61" spans="1:33" s="46" customFormat="1" hidden="1" x14ac:dyDescent="0.2">
      <c r="D61" s="88">
        <v>13.004186891271107</v>
      </c>
      <c r="E61" s="88">
        <v>12.272380486207815</v>
      </c>
      <c r="F61" s="89">
        <v>43617</v>
      </c>
      <c r="G61" s="90">
        <v>13</v>
      </c>
      <c r="H61" s="90">
        <f t="shared" si="36"/>
        <v>5974.02</v>
      </c>
      <c r="I61" s="91">
        <f t="shared" si="37"/>
        <v>23.72</v>
      </c>
      <c r="J61" s="90">
        <f t="shared" si="38"/>
        <v>47712.13</v>
      </c>
      <c r="K61" s="98"/>
      <c r="L61" s="92">
        <v>43983</v>
      </c>
      <c r="M61" s="90">
        <f t="shared" si="32"/>
        <v>11.76921093439587</v>
      </c>
      <c r="N61" s="90">
        <f t="shared" si="33"/>
        <v>5974.02</v>
      </c>
      <c r="O61" s="91">
        <f t="shared" si="39"/>
        <v>23.72</v>
      </c>
      <c r="P61" s="93">
        <f t="shared" si="34"/>
        <v>87056.28</v>
      </c>
      <c r="Q61" s="93">
        <f t="shared" si="35"/>
        <v>42451.58</v>
      </c>
      <c r="R61" s="94">
        <f t="shared" si="41"/>
        <v>5260.5499999999956</v>
      </c>
      <c r="S61" s="95">
        <f t="shared" si="40"/>
        <v>0.11025602923197929</v>
      </c>
      <c r="T61" s="96">
        <f>(SUM(R$56:R61)/SUM(J$56:J61))</f>
        <v>3.2358991149102546E-2</v>
      </c>
      <c r="V61" s="87"/>
      <c r="W61" s="87"/>
      <c r="X61" s="87"/>
    </row>
    <row r="62" spans="1:33" s="46" customFormat="1" hidden="1" x14ac:dyDescent="0.2">
      <c r="D62" s="88">
        <v>12.119708430553672</v>
      </c>
      <c r="E62" s="88">
        <v>11.510237763887005</v>
      </c>
      <c r="F62" s="89">
        <v>43647</v>
      </c>
      <c r="G62" s="90">
        <v>12.12</v>
      </c>
      <c r="H62" s="90">
        <f t="shared" si="36"/>
        <v>6246.74</v>
      </c>
      <c r="I62" s="91">
        <f t="shared" si="37"/>
        <v>24.8</v>
      </c>
      <c r="J62" s="90">
        <f t="shared" si="38"/>
        <v>6665.48</v>
      </c>
      <c r="K62" s="98"/>
      <c r="L62" s="92">
        <v>44013</v>
      </c>
      <c r="M62" s="90">
        <f t="shared" si="32"/>
        <v>12.948407644409425</v>
      </c>
      <c r="N62" s="90">
        <f t="shared" si="33"/>
        <v>6246.74</v>
      </c>
      <c r="O62" s="91">
        <f t="shared" si="39"/>
        <v>24.8</v>
      </c>
      <c r="P62" s="93">
        <f t="shared" si="34"/>
        <v>13638.939999999999</v>
      </c>
      <c r="Q62" s="93">
        <f t="shared" si="35"/>
        <v>7173.25</v>
      </c>
      <c r="R62" s="94">
        <f t="shared" si="41"/>
        <v>-507.77000000000044</v>
      </c>
      <c r="S62" s="95">
        <f t="shared" si="40"/>
        <v>-7.6179059872657398E-2</v>
      </c>
      <c r="T62" s="96">
        <f>(SUM(R$56:R62)/SUM(J$56:J62))</f>
        <v>3.0165025469364469E-2</v>
      </c>
      <c r="V62" s="87"/>
      <c r="W62" s="87"/>
      <c r="X62" s="87"/>
    </row>
    <row r="63" spans="1:33" s="46" customFormat="1" hidden="1" x14ac:dyDescent="0.2">
      <c r="D63" s="88">
        <v>12.170152280908109</v>
      </c>
      <c r="E63" s="88">
        <v>11.825390389651172</v>
      </c>
      <c r="F63" s="89">
        <v>43678</v>
      </c>
      <c r="G63" s="90">
        <v>12.17</v>
      </c>
      <c r="H63" s="90">
        <f t="shared" si="36"/>
        <v>5877.46</v>
      </c>
      <c r="I63" s="91">
        <f>+ROUND(H63*(3.97/1000),2)</f>
        <v>23.33</v>
      </c>
      <c r="J63" s="90">
        <f t="shared" si="38"/>
        <v>4170.93</v>
      </c>
      <c r="K63" s="98"/>
      <c r="L63" s="92">
        <v>44044</v>
      </c>
      <c r="M63" s="90">
        <f t="shared" si="32"/>
        <v>12.181521322587315</v>
      </c>
      <c r="N63" s="90">
        <f t="shared" si="33"/>
        <v>5877.46</v>
      </c>
      <c r="O63" s="91">
        <f t="shared" si="39"/>
        <v>23.33</v>
      </c>
      <c r="P63" s="93">
        <f t="shared" si="34"/>
        <v>7995.7099999999991</v>
      </c>
      <c r="Q63" s="93">
        <f t="shared" si="35"/>
        <v>4332.08</v>
      </c>
      <c r="R63" s="94">
        <f t="shared" si="41"/>
        <v>-161.14999999999964</v>
      </c>
      <c r="S63" s="95">
        <f t="shared" si="40"/>
        <v>-3.8636467166794843E-2</v>
      </c>
      <c r="T63" s="96">
        <f>(SUM(R$56:R63)/SUM(J$56:J63))</f>
        <v>2.9305639437083218E-2</v>
      </c>
      <c r="V63" s="87"/>
      <c r="W63" s="87"/>
      <c r="X63" s="87"/>
    </row>
    <row r="64" spans="1:33" s="46" customFormat="1" hidden="1" x14ac:dyDescent="0.2">
      <c r="D64" s="88">
        <v>11.925860932643594</v>
      </c>
      <c r="E64" s="88">
        <v>11.833337314886116</v>
      </c>
      <c r="F64" s="89">
        <v>43709</v>
      </c>
      <c r="G64" s="90">
        <v>11.93</v>
      </c>
      <c r="H64" s="90">
        <f t="shared" si="36"/>
        <v>6137.51</v>
      </c>
      <c r="I64" s="91">
        <f t="shared" ref="I64:I67" si="42">+ROUND(H64*(3.97/1000),2)</f>
        <v>24.37</v>
      </c>
      <c r="J64" s="90">
        <f t="shared" si="38"/>
        <v>3358.78</v>
      </c>
      <c r="K64" s="98"/>
      <c r="L64" s="92">
        <v>44075</v>
      </c>
      <c r="M64" s="90">
        <f t="shared" si="32"/>
        <v>11.892482933242903</v>
      </c>
      <c r="N64" s="90">
        <f t="shared" si="33"/>
        <v>6137.51</v>
      </c>
      <c r="O64" s="91">
        <f t="shared" si="39"/>
        <v>24.37</v>
      </c>
      <c r="P64" s="93">
        <f t="shared" si="34"/>
        <v>6861.14</v>
      </c>
      <c r="Q64" s="93">
        <f t="shared" si="35"/>
        <v>3402.97</v>
      </c>
      <c r="R64" s="94">
        <f t="shared" si="41"/>
        <v>-44.1899999999996</v>
      </c>
      <c r="S64" s="95">
        <f t="shared" si="40"/>
        <v>-1.3156562799587825E-2</v>
      </c>
      <c r="T64" s="96">
        <f>(SUM(R$56:R64)/SUM(J$56:J64))</f>
        <v>2.8882780984669659E-2</v>
      </c>
      <c r="V64" s="87"/>
      <c r="W64" s="87"/>
      <c r="X64" s="87"/>
    </row>
    <row r="65" spans="4:24" s="46" customFormat="1" hidden="1" x14ac:dyDescent="0.2">
      <c r="D65" s="88">
        <v>11.692154614600051</v>
      </c>
      <c r="E65" s="88">
        <v>11.5045571311878</v>
      </c>
      <c r="F65" s="89">
        <v>43739</v>
      </c>
      <c r="G65" s="90">
        <v>11.69</v>
      </c>
      <c r="H65" s="90">
        <f t="shared" si="36"/>
        <v>6080.76</v>
      </c>
      <c r="I65" s="91">
        <f t="shared" si="42"/>
        <v>24.14</v>
      </c>
      <c r="J65" s="90">
        <f t="shared" si="38"/>
        <v>30306.94</v>
      </c>
      <c r="K65" s="98"/>
      <c r="L65" s="92">
        <v>44105</v>
      </c>
      <c r="M65" s="90">
        <f t="shared" si="32"/>
        <v>11.803480554005048</v>
      </c>
      <c r="N65" s="90">
        <f t="shared" si="33"/>
        <v>6080.76</v>
      </c>
      <c r="O65" s="91">
        <f t="shared" si="39"/>
        <v>24.14</v>
      </c>
      <c r="P65" s="93">
        <f t="shared" si="34"/>
        <v>62584.21</v>
      </c>
      <c r="Q65" s="93">
        <f t="shared" si="35"/>
        <v>30638.58</v>
      </c>
      <c r="R65" s="94">
        <f t="shared" si="41"/>
        <v>-331.64000000000306</v>
      </c>
      <c r="S65" s="95">
        <f t="shared" si="40"/>
        <v>-1.0942708171791776E-2</v>
      </c>
      <c r="T65" s="96">
        <f>(SUM(R$56:R65)/SUM(J$56:J65))</f>
        <v>2.5599224126615375E-2</v>
      </c>
      <c r="V65" s="87"/>
      <c r="W65" s="87"/>
      <c r="X65" s="87"/>
    </row>
    <row r="66" spans="4:24" s="46" customFormat="1" hidden="1" x14ac:dyDescent="0.2">
      <c r="D66" s="88">
        <v>11.677286745239119</v>
      </c>
      <c r="E66" s="88">
        <v>11.579484728430813</v>
      </c>
      <c r="F66" s="89">
        <v>43770</v>
      </c>
      <c r="G66" s="90">
        <v>11.68</v>
      </c>
      <c r="H66" s="90">
        <f t="shared" si="36"/>
        <v>5970.83</v>
      </c>
      <c r="I66" s="91">
        <f t="shared" si="42"/>
        <v>23.7</v>
      </c>
      <c r="J66" s="90">
        <f t="shared" si="38"/>
        <v>29761.98</v>
      </c>
      <c r="K66" s="98"/>
      <c r="L66" s="92">
        <v>44136</v>
      </c>
      <c r="M66" s="90">
        <f t="shared" si="32"/>
        <v>12.234319509719606</v>
      </c>
      <c r="N66" s="90">
        <f t="shared" si="33"/>
        <v>5970.83</v>
      </c>
      <c r="O66" s="91">
        <f t="shared" si="39"/>
        <v>23.7</v>
      </c>
      <c r="P66" s="93">
        <f t="shared" si="34"/>
        <v>60390.31</v>
      </c>
      <c r="Q66" s="93">
        <f t="shared" si="35"/>
        <v>31239.45</v>
      </c>
      <c r="R66" s="94">
        <f t="shared" si="41"/>
        <v>-1477.4700000000012</v>
      </c>
      <c r="S66" s="95">
        <f t="shared" si="40"/>
        <v>-4.9642866502833519E-2</v>
      </c>
      <c r="T66" s="96">
        <f>(SUM(R$56:R66)/SUM(J$56:J66))</f>
        <v>1.9963471289995809E-2</v>
      </c>
      <c r="V66" s="87"/>
      <c r="W66" s="87"/>
      <c r="X66" s="87"/>
    </row>
    <row r="67" spans="4:24" s="46" customFormat="1" hidden="1" x14ac:dyDescent="0.2">
      <c r="D67" s="88">
        <v>11.839184603877925</v>
      </c>
      <c r="E67" s="88">
        <v>11.727696395904029</v>
      </c>
      <c r="F67" s="89">
        <v>43800</v>
      </c>
      <c r="G67" s="90">
        <v>11.84</v>
      </c>
      <c r="H67" s="90">
        <f t="shared" si="36"/>
        <v>5987.01</v>
      </c>
      <c r="I67" s="91">
        <f t="shared" si="42"/>
        <v>23.77</v>
      </c>
      <c r="J67" s="90">
        <f t="shared" si="38"/>
        <v>34156.61</v>
      </c>
      <c r="K67" s="98"/>
      <c r="L67" s="92">
        <v>44166</v>
      </c>
      <c r="M67" s="90">
        <f t="shared" si="32"/>
        <v>12.105988767427647</v>
      </c>
      <c r="N67" s="90">
        <f t="shared" si="33"/>
        <v>5987.01</v>
      </c>
      <c r="O67" s="91">
        <f t="shared" si="39"/>
        <v>23.77</v>
      </c>
      <c r="P67" s="93">
        <f t="shared" si="34"/>
        <v>68572.86</v>
      </c>
      <c r="Q67" s="93">
        <f t="shared" si="35"/>
        <v>34930.57</v>
      </c>
      <c r="R67" s="94">
        <f t="shared" si="41"/>
        <v>-773.95999999999913</v>
      </c>
      <c r="S67" s="95">
        <f t="shared" si="40"/>
        <v>-2.2659157334407574E-2</v>
      </c>
      <c r="T67" s="96">
        <f>(SUM(R$56:R67)/SUM(J$56:J67))</f>
        <v>1.6589589805747974E-2</v>
      </c>
      <c r="V67" s="87"/>
      <c r="W67" s="87"/>
      <c r="X67" s="87"/>
    </row>
    <row r="68" spans="4:24" s="108" customFormat="1" hidden="1" x14ac:dyDescent="0.2">
      <c r="D68" s="99"/>
      <c r="E68" s="99"/>
      <c r="F68" s="100" t="s">
        <v>50</v>
      </c>
      <c r="G68" s="101"/>
      <c r="H68" s="101"/>
      <c r="I68" s="101"/>
      <c r="J68" s="102">
        <f>SUM(J56:J67)</f>
        <v>431504.33999999997</v>
      </c>
      <c r="K68" s="102"/>
      <c r="L68" s="103"/>
      <c r="M68" s="101"/>
      <c r="N68" s="101"/>
      <c r="O68" s="101"/>
      <c r="P68" s="104">
        <f>SUM(P56:P67)</f>
        <v>855669.00999999989</v>
      </c>
      <c r="Q68" s="104">
        <f>SUM(Q56:Q67)</f>
        <v>424345.86000000004</v>
      </c>
      <c r="R68" s="105">
        <f>+J68-Q68</f>
        <v>7158.4799999999232</v>
      </c>
      <c r="S68" s="106">
        <f>+R68/J68</f>
        <v>1.6589589805747779E-2</v>
      </c>
      <c r="T68" s="107"/>
      <c r="V68" s="109"/>
      <c r="W68" s="109"/>
      <c r="X68" s="109"/>
    </row>
    <row r="69" spans="4:24" s="46" customFormat="1" hidden="1" x14ac:dyDescent="0.2">
      <c r="I69" s="68"/>
      <c r="J69" s="68"/>
      <c r="K69" s="68"/>
      <c r="U69" s="87"/>
      <c r="V69" s="87"/>
      <c r="W69" s="87"/>
    </row>
    <row r="70" spans="4:24" s="46" customFormat="1" hidden="1" x14ac:dyDescent="0.2">
      <c r="I70" s="68"/>
      <c r="J70" s="68"/>
      <c r="K70" s="68"/>
      <c r="R70" s="110" t="s">
        <v>51</v>
      </c>
      <c r="S70" s="111"/>
      <c r="U70" s="87"/>
      <c r="V70" s="87"/>
      <c r="W70" s="87"/>
    </row>
    <row r="71" spans="4:24" s="46" customFormat="1" ht="13.5" hidden="1" thickBot="1" x14ac:dyDescent="0.25">
      <c r="I71" s="68"/>
      <c r="J71" s="68"/>
      <c r="K71" s="68"/>
      <c r="R71" s="112">
        <f>R68*T71</f>
        <v>995830469.75998926</v>
      </c>
      <c r="T71" s="113">
        <v>139112</v>
      </c>
      <c r="U71" s="114" t="s">
        <v>52</v>
      </c>
      <c r="V71" s="87"/>
      <c r="W71" s="87"/>
    </row>
    <row r="72" spans="4:24" ht="13.5" hidden="1" thickBot="1" x14ac:dyDescent="0.25">
      <c r="F72" s="154" t="s">
        <v>53</v>
      </c>
      <c r="G72" s="155"/>
      <c r="H72" s="155"/>
      <c r="I72" s="155"/>
      <c r="J72" s="156"/>
    </row>
    <row r="73" spans="4:24" ht="29.25" hidden="1" thickBot="1" x14ac:dyDescent="0.25">
      <c r="F73" s="116" t="s">
        <v>54</v>
      </c>
      <c r="G73" s="117" t="s">
        <v>55</v>
      </c>
      <c r="H73" s="117" t="s">
        <v>56</v>
      </c>
      <c r="I73" s="117" t="s">
        <v>57</v>
      </c>
      <c r="J73" s="117" t="s">
        <v>20</v>
      </c>
      <c r="R73" s="118"/>
    </row>
    <row r="74" spans="4:24" ht="29.25" hidden="1" thickBot="1" x14ac:dyDescent="0.25">
      <c r="F74" s="119" t="s">
        <v>58</v>
      </c>
      <c r="G74" s="117" t="s">
        <v>59</v>
      </c>
      <c r="H74" s="117" t="s">
        <v>59</v>
      </c>
      <c r="I74" s="117" t="s">
        <v>59</v>
      </c>
      <c r="J74" s="117" t="s">
        <v>59</v>
      </c>
      <c r="R74" s="118"/>
    </row>
    <row r="75" spans="4:24" ht="15.75" hidden="1" thickBot="1" x14ac:dyDescent="0.25">
      <c r="F75" s="120" t="s">
        <v>60</v>
      </c>
      <c r="G75" s="121">
        <f>AL3</f>
        <v>12.5398</v>
      </c>
      <c r="H75" s="121">
        <f t="shared" ref="H75:J75" si="43">AM3</f>
        <v>11.514200000000001</v>
      </c>
      <c r="I75" s="121">
        <f t="shared" si="43"/>
        <v>11.688599999999999</v>
      </c>
      <c r="J75" s="121">
        <f t="shared" si="43"/>
        <v>11.7902</v>
      </c>
      <c r="R75" s="118"/>
    </row>
    <row r="76" spans="4:24" ht="30.75" hidden="1" thickBot="1" x14ac:dyDescent="0.25">
      <c r="F76" s="122" t="s">
        <v>61</v>
      </c>
      <c r="G76" s="121">
        <f>Y29</f>
        <v>12.820047815928742</v>
      </c>
      <c r="H76" s="121">
        <f t="shared" ref="H76:I76" si="44">Z29</f>
        <v>11.452158481655434</v>
      </c>
      <c r="I76" s="121">
        <f t="shared" si="44"/>
        <v>11.283817137620758</v>
      </c>
      <c r="J76" s="121">
        <f>AF29</f>
        <v>11.662608604977972</v>
      </c>
      <c r="R76" s="118"/>
    </row>
    <row r="77" spans="4:24" ht="29.25" hidden="1" thickBot="1" x14ac:dyDescent="0.25">
      <c r="F77" s="119" t="s">
        <v>62</v>
      </c>
      <c r="G77" s="123" t="s">
        <v>63</v>
      </c>
      <c r="H77" s="123" t="s">
        <v>64</v>
      </c>
      <c r="I77" s="123" t="s">
        <v>65</v>
      </c>
      <c r="J77" s="123" t="s">
        <v>20</v>
      </c>
    </row>
    <row r="78" spans="4:24" ht="15" hidden="1" thickBot="1" x14ac:dyDescent="0.25">
      <c r="F78" s="124" t="s">
        <v>66</v>
      </c>
      <c r="G78" s="123" t="s">
        <v>67</v>
      </c>
      <c r="H78" s="123" t="s">
        <v>68</v>
      </c>
      <c r="I78" s="123" t="s">
        <v>69</v>
      </c>
      <c r="J78" s="123" t="s">
        <v>70</v>
      </c>
      <c r="R78" s="118"/>
    </row>
    <row r="79" spans="4:24" ht="15" hidden="1" thickBot="1" x14ac:dyDescent="0.25">
      <c r="F79" s="124" t="s">
        <v>71</v>
      </c>
      <c r="G79" s="121">
        <f>R29</f>
        <v>31.724150406504066</v>
      </c>
      <c r="H79" s="121">
        <f t="shared" ref="H79:I79" si="45">S29</f>
        <v>64.61120469083157</v>
      </c>
      <c r="I79" s="121">
        <f t="shared" si="45"/>
        <v>62.456651794013752</v>
      </c>
      <c r="J79" s="121">
        <f>SUM(G79:I79)</f>
        <v>158.79200689134939</v>
      </c>
      <c r="R79" s="125"/>
    </row>
    <row r="80" spans="4:24" ht="15" hidden="1" thickBot="1" x14ac:dyDescent="0.25">
      <c r="F80" s="124" t="s">
        <v>72</v>
      </c>
      <c r="G80" s="126">
        <f>O29/$K$80</f>
        <v>0.56164383561643838</v>
      </c>
      <c r="H80" s="126">
        <f>P29/$K$80</f>
        <v>0.6424657534246575</v>
      </c>
      <c r="I80" s="126">
        <f>Q29/$K$80</f>
        <v>0.614041095890411</v>
      </c>
      <c r="J80" s="127"/>
      <c r="K80" s="42">
        <f>365*24</f>
        <v>8760</v>
      </c>
      <c r="R80" s="128"/>
    </row>
    <row r="81" spans="6:13" ht="29.25" hidden="1" thickBot="1" x14ac:dyDescent="0.25">
      <c r="F81" s="124" t="s">
        <v>73</v>
      </c>
      <c r="G81" s="126">
        <f>B29/$K$81</f>
        <v>0.18241027567423532</v>
      </c>
      <c r="H81" s="126">
        <f t="shared" ref="H81:I81" si="46">C29/$K$81</f>
        <v>0.42496789734151996</v>
      </c>
      <c r="I81" s="126">
        <f t="shared" si="46"/>
        <v>0.39262182698424469</v>
      </c>
      <c r="J81" s="127"/>
      <c r="K81" s="42">
        <f>SUM(B29:D29)</f>
        <v>855669.01</v>
      </c>
      <c r="M81" s="129">
        <f>+G81+H81+I81</f>
        <v>1</v>
      </c>
    </row>
  </sheetData>
  <sheetProtection sheet="1" objects="1" scenarios="1"/>
  <mergeCells count="16">
    <mergeCell ref="A31:AG31"/>
    <mergeCell ref="F54:J54"/>
    <mergeCell ref="L54:Q54"/>
    <mergeCell ref="F72:J72"/>
    <mergeCell ref="O1:Q1"/>
    <mergeCell ref="R1:T1"/>
    <mergeCell ref="U1:X1"/>
    <mergeCell ref="Y1:AA1"/>
    <mergeCell ref="AL1:AO1"/>
    <mergeCell ref="A17:AG17"/>
    <mergeCell ref="A1:A2"/>
    <mergeCell ref="B1:D1"/>
    <mergeCell ref="E1:G1"/>
    <mergeCell ref="H1:H2"/>
    <mergeCell ref="I1:K1"/>
    <mergeCell ref="L1:N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 Sanabria Higuera</dc:creator>
  <cp:lastModifiedBy>Carmen Lucia Gil Chiquillo</cp:lastModifiedBy>
  <dcterms:created xsi:type="dcterms:W3CDTF">2021-01-08T18:31:09Z</dcterms:created>
  <dcterms:modified xsi:type="dcterms:W3CDTF">2021-01-14T22:47:41Z</dcterms:modified>
</cp:coreProperties>
</file>