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lcazar\VARIOS DOCUMENTOS\Desktop\"/>
    </mc:Choice>
  </mc:AlternateContent>
  <bookViews>
    <workbookView xWindow="0" yWindow="0" windowWidth="24000" windowHeight="9735"/>
  </bookViews>
  <sheets>
    <sheet name="MENSUAL"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6" i="1" l="1"/>
  <c r="X11" i="1"/>
  <c r="Q11" i="1"/>
  <c r="P11" i="1"/>
  <c r="O11" i="1"/>
  <c r="H11" i="1"/>
  <c r="J11" i="1" s="1"/>
  <c r="G11" i="1"/>
  <c r="K11" i="1" s="1"/>
  <c r="N11" i="1" s="1"/>
  <c r="F11" i="1"/>
  <c r="E11" i="1"/>
  <c r="D11" i="1"/>
  <c r="T11" i="1" s="1"/>
  <c r="C11" i="1"/>
  <c r="B11" i="1"/>
  <c r="A11" i="1"/>
  <c r="H26" i="1" l="1"/>
  <c r="I11" i="1"/>
  <c r="AA11" i="1"/>
  <c r="AF11" i="1" s="1"/>
  <c r="AG11" i="1" s="1"/>
  <c r="AC11" i="1"/>
  <c r="AD11" i="1" s="1"/>
  <c r="X25" i="1"/>
  <c r="X10" i="1" l="1"/>
  <c r="Q10" i="1"/>
  <c r="P10" i="1"/>
  <c r="O10" i="1"/>
  <c r="H10" i="1"/>
  <c r="H25" i="1" s="1"/>
  <c r="G10" i="1"/>
  <c r="F10" i="1"/>
  <c r="E10" i="1"/>
  <c r="D10" i="1"/>
  <c r="C10" i="1"/>
  <c r="B10" i="1"/>
  <c r="A10" i="1"/>
  <c r="I10" i="1" l="1"/>
  <c r="J10" i="1"/>
  <c r="K10" i="1"/>
  <c r="AF90" i="1"/>
  <c r="AE90" i="1"/>
  <c r="AD90" i="1"/>
  <c r="AC90" i="1"/>
  <c r="K90" i="1"/>
  <c r="AF89" i="1"/>
  <c r="AE89" i="1"/>
  <c r="AD89" i="1"/>
  <c r="AC89" i="1"/>
  <c r="J85" i="1"/>
  <c r="I85" i="1"/>
  <c r="H85" i="1"/>
  <c r="G85" i="1"/>
  <c r="Q77" i="1"/>
  <c r="P77" i="1"/>
  <c r="N77" i="1"/>
  <c r="O77" i="1" s="1"/>
  <c r="M77" i="1"/>
  <c r="Q76" i="1"/>
  <c r="P76" i="1"/>
  <c r="N76" i="1"/>
  <c r="O76" i="1" s="1"/>
  <c r="M76" i="1"/>
  <c r="Q75" i="1"/>
  <c r="P75" i="1"/>
  <c r="N75" i="1"/>
  <c r="O75" i="1" s="1"/>
  <c r="M75" i="1"/>
  <c r="Q74" i="1"/>
  <c r="P74" i="1"/>
  <c r="N74" i="1"/>
  <c r="O74" i="1" s="1"/>
  <c r="M74" i="1"/>
  <c r="Q73" i="1"/>
  <c r="P73" i="1"/>
  <c r="O73" i="1"/>
  <c r="N73" i="1"/>
  <c r="M73" i="1"/>
  <c r="N48" i="1"/>
  <c r="Q46" i="1"/>
  <c r="P46" i="1"/>
  <c r="O46" i="1"/>
  <c r="N46" i="1"/>
  <c r="N45" i="1"/>
  <c r="N44" i="1"/>
  <c r="N43" i="1"/>
  <c r="N42" i="1"/>
  <c r="X36" i="1"/>
  <c r="W36" i="1"/>
  <c r="V36" i="1"/>
  <c r="U36" i="1"/>
  <c r="H36" i="1"/>
  <c r="W35" i="1"/>
  <c r="V35" i="1"/>
  <c r="U35" i="1"/>
  <c r="W34" i="1"/>
  <c r="V34" i="1"/>
  <c r="U34" i="1"/>
  <c r="W33" i="1"/>
  <c r="V33" i="1"/>
  <c r="U33" i="1"/>
  <c r="X35" i="1"/>
  <c r="H35" i="1"/>
  <c r="X24" i="1"/>
  <c r="X23" i="1"/>
  <c r="X34" i="1" s="1"/>
  <c r="X22" i="1"/>
  <c r="X21" i="1"/>
  <c r="X20" i="1"/>
  <c r="X33" i="1" s="1"/>
  <c r="X19" i="1"/>
  <c r="X18" i="1"/>
  <c r="AT10" i="1"/>
  <c r="AS10" i="1"/>
  <c r="AR10" i="1"/>
  <c r="X9" i="1"/>
  <c r="Q9" i="1"/>
  <c r="Q45" i="1" s="1"/>
  <c r="P9" i="1"/>
  <c r="P45" i="1" s="1"/>
  <c r="O9" i="1"/>
  <c r="O45" i="1" s="1"/>
  <c r="H9" i="1"/>
  <c r="H24" i="1" s="1"/>
  <c r="G9" i="1"/>
  <c r="F9" i="1"/>
  <c r="E9" i="1"/>
  <c r="D9" i="1"/>
  <c r="C9" i="1"/>
  <c r="B9" i="1"/>
  <c r="A9" i="1"/>
  <c r="X8" i="1"/>
  <c r="Q8" i="1"/>
  <c r="P8" i="1"/>
  <c r="O8" i="1"/>
  <c r="H8" i="1"/>
  <c r="N71" i="1" s="1"/>
  <c r="O71" i="1" s="1"/>
  <c r="G8" i="1"/>
  <c r="F8" i="1"/>
  <c r="E8" i="1"/>
  <c r="D8" i="1"/>
  <c r="C8" i="1"/>
  <c r="B8" i="1"/>
  <c r="A8" i="1"/>
  <c r="X7" i="1"/>
  <c r="Q7" i="1"/>
  <c r="P7" i="1"/>
  <c r="O7" i="1"/>
  <c r="H7" i="1"/>
  <c r="H22" i="1" s="1"/>
  <c r="G7" i="1"/>
  <c r="K7" i="1" s="1"/>
  <c r="F7" i="1"/>
  <c r="E7" i="1"/>
  <c r="D7" i="1"/>
  <c r="C7" i="1"/>
  <c r="B7" i="1"/>
  <c r="A7" i="1"/>
  <c r="X6" i="1"/>
  <c r="Q6" i="1"/>
  <c r="Q43" i="1" s="1"/>
  <c r="P6" i="1"/>
  <c r="O6" i="1"/>
  <c r="H6" i="1"/>
  <c r="H21" i="1" s="1"/>
  <c r="G6" i="1"/>
  <c r="F6" i="1"/>
  <c r="E6" i="1"/>
  <c r="D6" i="1"/>
  <c r="C6" i="1"/>
  <c r="B6" i="1"/>
  <c r="A6" i="1"/>
  <c r="X5" i="1"/>
  <c r="Q5" i="1"/>
  <c r="P5" i="1"/>
  <c r="O5" i="1"/>
  <c r="H5" i="1"/>
  <c r="H20" i="1" s="1"/>
  <c r="H33" i="1" s="1"/>
  <c r="G5" i="1"/>
  <c r="F5" i="1"/>
  <c r="E5" i="1"/>
  <c r="D5" i="1"/>
  <c r="T5" i="1" s="1"/>
  <c r="C5" i="1"/>
  <c r="B5" i="1"/>
  <c r="A5" i="1"/>
  <c r="AO4" i="1"/>
  <c r="AN4" i="1"/>
  <c r="AM4" i="1"/>
  <c r="AL4" i="1"/>
  <c r="X4" i="1"/>
  <c r="Q4" i="1"/>
  <c r="P4" i="1"/>
  <c r="O4" i="1"/>
  <c r="H4" i="1"/>
  <c r="H19" i="1" s="1"/>
  <c r="G4" i="1"/>
  <c r="K4" i="1" s="1"/>
  <c r="F4" i="1"/>
  <c r="E4" i="1"/>
  <c r="D4" i="1"/>
  <c r="C4" i="1"/>
  <c r="B4" i="1"/>
  <c r="A4" i="1"/>
  <c r="X3" i="1"/>
  <c r="Q3" i="1"/>
  <c r="Q26" i="1" s="1"/>
  <c r="P3" i="1"/>
  <c r="O3" i="1"/>
  <c r="O26" i="1" s="1"/>
  <c r="H3" i="1"/>
  <c r="N66" i="1" s="1"/>
  <c r="G3" i="1"/>
  <c r="F3" i="1"/>
  <c r="F26" i="1" s="1"/>
  <c r="F35" i="1" s="1"/>
  <c r="E3" i="1"/>
  <c r="D3" i="1"/>
  <c r="D26" i="1" s="1"/>
  <c r="C3" i="1"/>
  <c r="B3" i="1"/>
  <c r="A3" i="1"/>
  <c r="C25" i="1" l="1"/>
  <c r="C26" i="1"/>
  <c r="E25" i="1"/>
  <c r="E26" i="1"/>
  <c r="E35" i="1" s="1"/>
  <c r="T26" i="1"/>
  <c r="G26" i="1"/>
  <c r="B25" i="1"/>
  <c r="B26" i="1"/>
  <c r="P25" i="1"/>
  <c r="P26" i="1"/>
  <c r="Q20" i="1"/>
  <c r="Q33" i="1" s="1"/>
  <c r="Q25" i="1"/>
  <c r="D21" i="1"/>
  <c r="D25" i="1"/>
  <c r="F36" i="1"/>
  <c r="F25" i="1"/>
  <c r="R4" i="1"/>
  <c r="J8" i="1"/>
  <c r="M8" i="1" s="1"/>
  <c r="P72" i="1"/>
  <c r="N4" i="1"/>
  <c r="AT5" i="1"/>
  <c r="G18" i="1"/>
  <c r="G25" i="1"/>
  <c r="AT6" i="1"/>
  <c r="K8" i="1"/>
  <c r="N8" i="1" s="1"/>
  <c r="O25" i="1"/>
  <c r="O43" i="1"/>
  <c r="J7" i="1"/>
  <c r="S5" i="1"/>
  <c r="T8" i="1"/>
  <c r="Q67" i="1"/>
  <c r="P44" i="1"/>
  <c r="J4" i="1"/>
  <c r="M4" i="1" s="1"/>
  <c r="AS5" i="1"/>
  <c r="Q70" i="1"/>
  <c r="C22" i="1"/>
  <c r="K3" i="1"/>
  <c r="K26" i="1" s="1"/>
  <c r="N26" i="1" s="1"/>
  <c r="AA26" i="1" s="1"/>
  <c r="P68" i="1"/>
  <c r="I7" i="1"/>
  <c r="P20" i="1"/>
  <c r="P33" i="1" s="1"/>
  <c r="P70" i="1"/>
  <c r="S8" i="1"/>
  <c r="E23" i="1"/>
  <c r="E34" i="1" s="1"/>
  <c r="I8" i="1"/>
  <c r="L8" i="1" s="1"/>
  <c r="F18" i="1"/>
  <c r="G20" i="1"/>
  <c r="G33" i="1" s="1"/>
  <c r="P43" i="1"/>
  <c r="R43" i="1" s="1"/>
  <c r="S43" i="1" s="1"/>
  <c r="H23" i="1"/>
  <c r="H34" i="1" s="1"/>
  <c r="P23" i="1"/>
  <c r="P34" i="1" s="1"/>
  <c r="I3" i="1"/>
  <c r="R3" i="1"/>
  <c r="J3" i="1"/>
  <c r="E18" i="1"/>
  <c r="F23" i="1"/>
  <c r="F34" i="1" s="1"/>
  <c r="O42" i="1"/>
  <c r="AT4" i="1"/>
  <c r="I5" i="1"/>
  <c r="L5" i="1" s="1"/>
  <c r="O18" i="1"/>
  <c r="N70" i="1"/>
  <c r="H70" i="1" s="1"/>
  <c r="I70" i="1" s="1"/>
  <c r="J5" i="1"/>
  <c r="M5" i="1" s="1"/>
  <c r="F21" i="1"/>
  <c r="E24" i="1"/>
  <c r="AA4" i="1"/>
  <c r="N69" i="1"/>
  <c r="H69" i="1" s="1"/>
  <c r="I69" i="1" s="1"/>
  <c r="O23" i="1"/>
  <c r="O34" i="1" s="1"/>
  <c r="C19" i="1"/>
  <c r="S3" i="1"/>
  <c r="T4" i="1"/>
  <c r="P47" i="1"/>
  <c r="Q69" i="1"/>
  <c r="AT7" i="1"/>
  <c r="D19" i="1"/>
  <c r="AS6" i="1"/>
  <c r="I9" i="1"/>
  <c r="E36" i="1"/>
  <c r="R46" i="1"/>
  <c r="S46" i="1" s="1"/>
  <c r="H66" i="1"/>
  <c r="I66" i="1" s="1"/>
  <c r="O66" i="1"/>
  <c r="S4" i="1"/>
  <c r="AR5" i="1"/>
  <c r="I6" i="1"/>
  <c r="R45" i="1"/>
  <c r="S45" i="1" s="1"/>
  <c r="P67" i="1"/>
  <c r="R5" i="1"/>
  <c r="P69" i="1"/>
  <c r="J6" i="1"/>
  <c r="Q47" i="1"/>
  <c r="Q19" i="1"/>
  <c r="Q24" i="1"/>
  <c r="Q21" i="1"/>
  <c r="Q42" i="1"/>
  <c r="Q35" i="1"/>
  <c r="Q18" i="1"/>
  <c r="Q23" i="1"/>
  <c r="Q34" i="1" s="1"/>
  <c r="B24" i="1"/>
  <c r="B21" i="1"/>
  <c r="B18" i="1"/>
  <c r="P66" i="1"/>
  <c r="B23" i="1"/>
  <c r="B20" i="1"/>
  <c r="AS4" i="1"/>
  <c r="Q22" i="1"/>
  <c r="C21" i="1"/>
  <c r="C18" i="1"/>
  <c r="C23" i="1"/>
  <c r="C20" i="1"/>
  <c r="Q72" i="1"/>
  <c r="C24" i="1"/>
  <c r="N68" i="1"/>
  <c r="J20" i="1"/>
  <c r="T3" i="1"/>
  <c r="G35" i="1"/>
  <c r="K5" i="1"/>
  <c r="K6" i="1"/>
  <c r="AS7" i="1"/>
  <c r="G23" i="1"/>
  <c r="G34" i="1" s="1"/>
  <c r="O35" i="1"/>
  <c r="Q44" i="1"/>
  <c r="O47" i="1"/>
  <c r="N72" i="1"/>
  <c r="O72" i="1" s="1"/>
  <c r="D18" i="1"/>
  <c r="D23" i="1"/>
  <c r="D20" i="1"/>
  <c r="D22" i="1"/>
  <c r="L3" i="1"/>
  <c r="AR4" i="1"/>
  <c r="I4" i="1"/>
  <c r="P71" i="1"/>
  <c r="J9" i="1"/>
  <c r="B19" i="1"/>
  <c r="O20" i="1"/>
  <c r="O33" i="1" s="1"/>
  <c r="E21" i="1"/>
  <c r="D24" i="1"/>
  <c r="AT9" i="1"/>
  <c r="K9" i="1"/>
  <c r="B22" i="1"/>
  <c r="N47" i="1"/>
  <c r="AR3" i="1"/>
  <c r="AR7" i="1"/>
  <c r="H18" i="1"/>
  <c r="P18" i="1"/>
  <c r="E19" i="1"/>
  <c r="G21" i="1"/>
  <c r="O21" i="1"/>
  <c r="F24" i="1"/>
  <c r="P35" i="1"/>
  <c r="G36" i="1"/>
  <c r="P42" i="1"/>
  <c r="Q68" i="1"/>
  <c r="AR6" i="1"/>
  <c r="F19" i="1"/>
  <c r="P21" i="1"/>
  <c r="E22" i="1"/>
  <c r="G24" i="1"/>
  <c r="O24" i="1"/>
  <c r="AS3" i="1"/>
  <c r="AT3" i="1"/>
  <c r="G19" i="1"/>
  <c r="O19" i="1"/>
  <c r="F22" i="1"/>
  <c r="P24" i="1"/>
  <c r="Q66" i="1"/>
  <c r="N67" i="1"/>
  <c r="P19" i="1"/>
  <c r="E20" i="1"/>
  <c r="E33" i="1" s="1"/>
  <c r="G22" i="1"/>
  <c r="O22" i="1"/>
  <c r="O44" i="1"/>
  <c r="R8" i="1"/>
  <c r="F20" i="1"/>
  <c r="F33" i="1" s="1"/>
  <c r="P22" i="1"/>
  <c r="Z5" i="1" l="1"/>
  <c r="J26" i="1"/>
  <c r="M26" i="1" s="1"/>
  <c r="T21" i="1"/>
  <c r="K19" i="1"/>
  <c r="R26" i="1"/>
  <c r="K18" i="1"/>
  <c r="N18" i="1" s="1"/>
  <c r="I26" i="1"/>
  <c r="L26" i="1" s="1"/>
  <c r="AC26" i="1" s="1"/>
  <c r="AD26" i="1" s="1"/>
  <c r="R25" i="1"/>
  <c r="S26" i="1"/>
  <c r="AA8" i="1"/>
  <c r="S25" i="1"/>
  <c r="O69" i="1"/>
  <c r="K25" i="1"/>
  <c r="N25" i="1" s="1"/>
  <c r="N3" i="1"/>
  <c r="AA3" i="1" s="1"/>
  <c r="J25" i="1"/>
  <c r="M25" i="1" s="1"/>
  <c r="Z25" i="1" s="1"/>
  <c r="T25" i="1"/>
  <c r="I18" i="1"/>
  <c r="L18" i="1" s="1"/>
  <c r="I25" i="1"/>
  <c r="L25" i="1" s="1"/>
  <c r="Z8" i="1"/>
  <c r="AS12" i="1"/>
  <c r="R42" i="1"/>
  <c r="S42" i="1" s="1"/>
  <c r="T19" i="1"/>
  <c r="AT12" i="1"/>
  <c r="J19" i="1"/>
  <c r="M19" i="1" s="1"/>
  <c r="Z4" i="1"/>
  <c r="R44" i="1"/>
  <c r="S44" i="1" s="1"/>
  <c r="N19" i="1"/>
  <c r="Y5" i="1"/>
  <c r="S22" i="1"/>
  <c r="M3" i="1"/>
  <c r="Z3" i="1" s="1"/>
  <c r="Y8" i="1"/>
  <c r="J18" i="1"/>
  <c r="M18" i="1" s="1"/>
  <c r="O70" i="1"/>
  <c r="I19" i="1"/>
  <c r="L19" i="1" s="1"/>
  <c r="S24" i="1"/>
  <c r="R18" i="1"/>
  <c r="J21" i="1"/>
  <c r="M21" i="1" s="1"/>
  <c r="S18" i="1"/>
  <c r="S19" i="1"/>
  <c r="R24" i="1"/>
  <c r="I21" i="1"/>
  <c r="L21" i="1" s="1"/>
  <c r="N5" i="1"/>
  <c r="K24" i="1"/>
  <c r="N24" i="1" s="1"/>
  <c r="O67" i="1"/>
  <c r="H67" i="1"/>
  <c r="I67" i="1" s="1"/>
  <c r="J67" i="1" s="1"/>
  <c r="R67" i="1" s="1"/>
  <c r="S67" i="1" s="1"/>
  <c r="AC8" i="1"/>
  <c r="AD8" i="1" s="1"/>
  <c r="T20" i="1"/>
  <c r="T33" i="1" s="1"/>
  <c r="D33" i="1"/>
  <c r="K20" i="1"/>
  <c r="R47" i="1"/>
  <c r="S47" i="1" s="1"/>
  <c r="I20" i="1"/>
  <c r="S21" i="1"/>
  <c r="B34" i="1"/>
  <c r="R23" i="1"/>
  <c r="R34" i="1" s="1"/>
  <c r="I24" i="1"/>
  <c r="L24" i="1" s="1"/>
  <c r="Q78" i="1"/>
  <c r="AR12" i="1"/>
  <c r="J24" i="1"/>
  <c r="M24" i="1" s="1"/>
  <c r="C36" i="1"/>
  <c r="P78" i="1"/>
  <c r="J66" i="1"/>
  <c r="H68" i="1"/>
  <c r="I68" i="1" s="1"/>
  <c r="J68" i="1" s="1"/>
  <c r="R68" i="1" s="1"/>
  <c r="S68" i="1" s="1"/>
  <c r="O68" i="1"/>
  <c r="R20" i="1"/>
  <c r="R33" i="1" s="1"/>
  <c r="B33" i="1"/>
  <c r="K22" i="1"/>
  <c r="N22" i="1" s="1"/>
  <c r="C35" i="1"/>
  <c r="S35" i="1"/>
  <c r="T24" i="1"/>
  <c r="L4" i="1"/>
  <c r="I22" i="1"/>
  <c r="L22" i="1" s="1"/>
  <c r="H90" i="1"/>
  <c r="P36" i="1"/>
  <c r="T18" i="1"/>
  <c r="S20" i="1"/>
  <c r="S33" i="1" s="1"/>
  <c r="C33" i="1"/>
  <c r="R22" i="1"/>
  <c r="Y3" i="1"/>
  <c r="D35" i="1"/>
  <c r="T35" i="1"/>
  <c r="J23" i="1"/>
  <c r="R21" i="1"/>
  <c r="D36" i="1"/>
  <c r="T23" i="1"/>
  <c r="T34" i="1" s="1"/>
  <c r="D34" i="1"/>
  <c r="K23" i="1"/>
  <c r="M20" i="1"/>
  <c r="J33" i="1"/>
  <c r="B35" i="1"/>
  <c r="R35" i="1"/>
  <c r="I23" i="1"/>
  <c r="G90" i="1"/>
  <c r="O36" i="1"/>
  <c r="R19" i="1"/>
  <c r="Y19" i="1" s="1"/>
  <c r="T22" i="1"/>
  <c r="K21" i="1"/>
  <c r="N21" i="1" s="1"/>
  <c r="AA21" i="1" s="1"/>
  <c r="S23" i="1"/>
  <c r="S34" i="1" s="1"/>
  <c r="C34" i="1"/>
  <c r="B36" i="1"/>
  <c r="K91" i="1"/>
  <c r="I91" i="1" s="1"/>
  <c r="Q36" i="1"/>
  <c r="I90" i="1"/>
  <c r="I36" i="1"/>
  <c r="J22" i="1"/>
  <c r="M22" i="1" s="1"/>
  <c r="Z22" i="1" s="1"/>
  <c r="Y26" i="1" l="1"/>
  <c r="Z24" i="1"/>
  <c r="AA19" i="1"/>
  <c r="Z26" i="1"/>
  <c r="AC19" i="1"/>
  <c r="AD19" i="1" s="1"/>
  <c r="AC25" i="1"/>
  <c r="AD25" i="1" s="1"/>
  <c r="Y25" i="1"/>
  <c r="AF8" i="1"/>
  <c r="AG8" i="1" s="1"/>
  <c r="Y21" i="1"/>
  <c r="AA25" i="1"/>
  <c r="Z18" i="1"/>
  <c r="Z21" i="1"/>
  <c r="Z19" i="1"/>
  <c r="AF19" i="1" s="1"/>
  <c r="AG19" i="1" s="1"/>
  <c r="AF3" i="1"/>
  <c r="AG3" i="1" s="1"/>
  <c r="AC3" i="1"/>
  <c r="M66" i="1" s="1"/>
  <c r="AA18" i="1"/>
  <c r="AC21" i="1"/>
  <c r="AD21" i="1" s="1"/>
  <c r="H91" i="1"/>
  <c r="G91" i="1"/>
  <c r="AF21" i="1"/>
  <c r="AG21" i="1" s="1"/>
  <c r="H89" i="1"/>
  <c r="S36" i="1"/>
  <c r="K33" i="1"/>
  <c r="N20" i="1"/>
  <c r="AC18" i="1"/>
  <c r="AD18" i="1" s="1"/>
  <c r="Y18" i="1"/>
  <c r="J35" i="1"/>
  <c r="M91" i="1"/>
  <c r="N23" i="1"/>
  <c r="K34" i="1"/>
  <c r="AC24" i="1"/>
  <c r="AD24" i="1" s="1"/>
  <c r="Y24" i="1"/>
  <c r="M72" i="1"/>
  <c r="I35" i="1"/>
  <c r="K36" i="1"/>
  <c r="L36" i="1"/>
  <c r="I34" i="1"/>
  <c r="L23" i="1"/>
  <c r="T36" i="1"/>
  <c r="I89" i="1"/>
  <c r="K35" i="1"/>
  <c r="Y22" i="1"/>
  <c r="AC22" i="1"/>
  <c r="AD22" i="1" s="1"/>
  <c r="J36" i="1"/>
  <c r="AA24" i="1"/>
  <c r="J34" i="1"/>
  <c r="M23" i="1"/>
  <c r="J78" i="1"/>
  <c r="R78" i="1" s="1"/>
  <c r="R66" i="1"/>
  <c r="J80" i="1"/>
  <c r="N82" i="1" s="1"/>
  <c r="L20" i="1"/>
  <c r="I33" i="1"/>
  <c r="G89" i="1"/>
  <c r="J89" i="1" s="1"/>
  <c r="R36" i="1"/>
  <c r="M33" i="1"/>
  <c r="Z20" i="1"/>
  <c r="Z33" i="1" s="1"/>
  <c r="AC4" i="1"/>
  <c r="Y4" i="1"/>
  <c r="AF4" i="1" s="1"/>
  <c r="AG4" i="1" s="1"/>
  <c r="AA22" i="1"/>
  <c r="AA5" i="1"/>
  <c r="AF5" i="1" s="1"/>
  <c r="AG5" i="1" s="1"/>
  <c r="AC5" i="1"/>
  <c r="AF26" i="1" l="1"/>
  <c r="AG26" i="1" s="1"/>
  <c r="AF25" i="1"/>
  <c r="AG25" i="1" s="1"/>
  <c r="AF18" i="1"/>
  <c r="AG18" i="1" s="1"/>
  <c r="AD3" i="1"/>
  <c r="AC23" i="1"/>
  <c r="L34" i="1"/>
  <c r="Y23" i="1"/>
  <c r="N36" i="1"/>
  <c r="Z35" i="1"/>
  <c r="M35" i="1"/>
  <c r="M67" i="1"/>
  <c r="AD4" i="1"/>
  <c r="AF22" i="1"/>
  <c r="AG22" i="1" s="1"/>
  <c r="S78" i="1"/>
  <c r="R81" i="1"/>
  <c r="Y20" i="1"/>
  <c r="L33" i="1"/>
  <c r="AC20" i="1"/>
  <c r="S66" i="1"/>
  <c r="T68" i="1"/>
  <c r="T69" i="1"/>
  <c r="T70" i="1"/>
  <c r="T67" i="1"/>
  <c r="T66" i="1"/>
  <c r="M68" i="1"/>
  <c r="AD5" i="1"/>
  <c r="M34" i="1"/>
  <c r="Z23" i="1"/>
  <c r="Z34" i="1" s="1"/>
  <c r="AA35" i="1"/>
  <c r="N35" i="1"/>
  <c r="G86" i="1"/>
  <c r="Y36" i="1"/>
  <c r="L35" i="1"/>
  <c r="N34" i="1"/>
  <c r="AA23" i="1"/>
  <c r="AA34" i="1" s="1"/>
  <c r="N33" i="1"/>
  <c r="AA20" i="1"/>
  <c r="AA33" i="1" s="1"/>
  <c r="M36" i="1"/>
  <c r="AF24" i="1"/>
  <c r="AG24" i="1" s="1"/>
  <c r="H86" i="1" l="1"/>
  <c r="Z36" i="1"/>
  <c r="AC33" i="1"/>
  <c r="AD20" i="1"/>
  <c r="AD33" i="1" s="1"/>
  <c r="AF20" i="1"/>
  <c r="Y33" i="1"/>
  <c r="I86" i="1"/>
  <c r="AA36" i="1"/>
  <c r="AD23" i="1"/>
  <c r="AD34" i="1" s="1"/>
  <c r="AC34" i="1"/>
  <c r="AC35" i="1"/>
  <c r="AD35" i="1"/>
  <c r="AD36" i="1"/>
  <c r="AC36" i="1"/>
  <c r="Y34" i="1"/>
  <c r="AF23" i="1"/>
  <c r="Y35" i="1"/>
  <c r="AG23" i="1" l="1"/>
  <c r="AG34" i="1" s="1"/>
  <c r="AF34" i="1"/>
  <c r="AG35" i="1"/>
  <c r="AF35" i="1"/>
  <c r="AF33" i="1"/>
  <c r="AG20" i="1"/>
  <c r="AG33" i="1" s="1"/>
  <c r="AF36" i="1"/>
  <c r="J86" i="1"/>
  <c r="AG36" i="1"/>
</calcChain>
</file>

<file path=xl/comments1.xml><?xml version="1.0" encoding="utf-8"?>
<comments xmlns="http://schemas.openxmlformats.org/spreadsheetml/2006/main">
  <authors>
    <author>Alirio Sanabria Higuera</author>
  </authors>
  <commentList>
    <comment ref="F13" authorId="0" shapeId="0">
      <text>
        <r>
          <rPr>
            <b/>
            <sz val="9"/>
            <color indexed="81"/>
            <rFont val="Tahoma"/>
            <family val="2"/>
          </rPr>
          <t>Alirio Sanabria Higuera:</t>
        </r>
        <r>
          <rPr>
            <sz val="9"/>
            <color indexed="81"/>
            <rFont val="Tahoma"/>
            <family val="2"/>
          </rPr>
          <t xml:space="preserve">
Durante el mes de noviembre, se alimentaron 274,49 Ton de carbón a las tolvas de la U2, por pruebas de básculas ubicadas en bandas, pero como no hubo generación, este carbón no se tiene en cuenta para el cálculo de los indicadores del mes de noviembre.</t>
        </r>
      </text>
    </comment>
    <comment ref="G71" authorId="0" shapeId="0">
      <text>
        <r>
          <rPr>
            <b/>
            <sz val="9"/>
            <color indexed="81"/>
            <rFont val="Tahoma"/>
            <family val="2"/>
          </rPr>
          <t>Alirio Sanabria Higuera:</t>
        </r>
        <r>
          <rPr>
            <sz val="9"/>
            <color indexed="81"/>
            <rFont val="Tahoma"/>
            <family val="2"/>
          </rPr>
          <t xml:space="preserve">
Promedio planta acumulado a junio 2021</t>
        </r>
      </text>
    </comment>
  </commentList>
</comments>
</file>

<file path=xl/sharedStrings.xml><?xml version="1.0" encoding="utf-8"?>
<sst xmlns="http://schemas.openxmlformats.org/spreadsheetml/2006/main" count="199" uniqueCount="96">
  <si>
    <t>mm:AA</t>
  </si>
  <si>
    <t>Producción (MWh)</t>
  </si>
  <si>
    <t>Consumo  (Tn)</t>
  </si>
  <si>
    <t xml:space="preserve">Poder calorífico
carbón
 (Kcal/Kg) </t>
  </si>
  <si>
    <t>TOTAL ENERGIA EN EL 
CARBÓN (MBTU)</t>
  </si>
  <si>
    <t>CONSUMO TÉRMICO ESPECÍFICO SIN CORREGIR
(MBTU/MWh)</t>
  </si>
  <si>
    <t>HORAS DE
OPERACIÓN</t>
  </si>
  <si>
    <t xml:space="preserve">POTENCIA PROMEDIO DE 
GENERACIÓN (MW) </t>
  </si>
  <si>
    <t>CAPACIDAD EFECTIVA NETA - CEN
(MW)</t>
  </si>
  <si>
    <t>CONSUMO TÉRMICO ESPECÍFICO 
CORREGIDO (MBTU/MWh)</t>
  </si>
  <si>
    <t>CONSUMO TÉRMICO
ESPECÍFICO SIN  CORREGIR</t>
  </si>
  <si>
    <t>DESEMPEÑO
SIN CORREGIR
(%)</t>
  </si>
  <si>
    <t>CONSUMO TÉRMICO
ESPECÍFICO CORREGIDO (MBTU/MWh)</t>
  </si>
  <si>
    <t>DESEMPEÑO (%)</t>
  </si>
  <si>
    <t>META 2022 - CONSUMO TÉRMICO ESPECÍFICO 
 (MBTU/MWh)</t>
  </si>
  <si>
    <t>META 2022 DESEMPEÑO %)</t>
  </si>
  <si>
    <t>Unidad Uno</t>
  </si>
  <si>
    <t xml:space="preserve">Unidad Dos </t>
  </si>
  <si>
    <t xml:space="preserve">Unidad Tres </t>
  </si>
  <si>
    <t>CEN
TOTAL</t>
  </si>
  <si>
    <t>PLANTA</t>
  </si>
  <si>
    <t xml:space="preserve">INDICADOR ACUMULADO                          INDICADOR ACUMULADO                                       INDICADOR ACUMULADO                           INDICADOR ACUMULADO                                    INDICADOR ACUMULADO  </t>
  </si>
  <si>
    <t>ene-22-feb-22</t>
  </si>
  <si>
    <t>ene-22-mar-22</t>
  </si>
  <si>
    <t>ene-22-abr-22</t>
  </si>
  <si>
    <t>ene-22-may-22</t>
  </si>
  <si>
    <t>ene-22-jun-22</t>
  </si>
  <si>
    <t>ene-22-jul-22</t>
  </si>
  <si>
    <t>ene-22-ago-22</t>
  </si>
  <si>
    <t>ene-22-sep-22</t>
  </si>
  <si>
    <t>ene-22-oct-22</t>
  </si>
  <si>
    <t>ene-22-nov-22</t>
  </si>
  <si>
    <t>ene-22-dic-22</t>
  </si>
  <si>
    <t xml:space="preserve">INDICADOR TRIMESTRAL ACUMULADO                          INDICADOR TRIMESTRAL ACUMULADO                                    INDICADOR TRIMESTRAL ACUMULADO                           INDICADOR TRIMESTRAL ACUMULADO                                    INDICADOR TRIMESTRAL ACUMULADO  </t>
  </si>
  <si>
    <t>1° TRIMESTRE</t>
  </si>
  <si>
    <t>2° TRIMESTRE</t>
  </si>
  <si>
    <t>3° TRIMESTRE</t>
  </si>
  <si>
    <t>4° TRIMESTRE</t>
  </si>
  <si>
    <t>Horas del 
Periodo</t>
  </si>
  <si>
    <t>U1</t>
  </si>
  <si>
    <t>U2</t>
  </si>
  <si>
    <t>U3</t>
  </si>
  <si>
    <t>Promedio despachabilidad 
Planta</t>
  </si>
  <si>
    <t>Promedio fuera de servicio Planta</t>
  </si>
  <si>
    <t>1° Trimestre</t>
  </si>
  <si>
    <t>2° Trimestre</t>
  </si>
  <si>
    <t>1° Semestre</t>
  </si>
  <si>
    <t>3° Trimestre</t>
  </si>
  <si>
    <t>4° Trimestre</t>
  </si>
  <si>
    <t>Consolidado año</t>
  </si>
  <si>
    <t>2021 VS 2022</t>
  </si>
  <si>
    <t>PERIODO</t>
  </si>
  <si>
    <t>CONSUMO TÉRMICO
ESPECÍFICO MENSUAL PLANTA SIN CORREGIR (MBTU/MWh)</t>
  </si>
  <si>
    <t xml:space="preserve">Poder calorífico
carbón promedio
 (Kcal/Kg) 
</t>
  </si>
  <si>
    <t xml:space="preserve">Poder calorífico
carbón promedio
 (MBTU/Ton) 
</t>
  </si>
  <si>
    <t>Consumo de carbón 
(Ton)</t>
  </si>
  <si>
    <t>CONSUMO TÉRMICO
ESPECÍFICO MENSUAL PLANTA
SIN CORREGIR 
(MBTU/MWh)</t>
  </si>
  <si>
    <t>TOTAL GENERACIÓN 
(MWh)</t>
  </si>
  <si>
    <t>Ahorro de carbón del mes (Ton) (Ton)</t>
  </si>
  <si>
    <t>Ahorro de carbón del mes (Ton) (%)</t>
  </si>
  <si>
    <t>Ahorro de carbón acumulado (%)</t>
  </si>
  <si>
    <t>CONSOLIDADO AÑO</t>
  </si>
  <si>
    <t>Ahorros económicos</t>
  </si>
  <si>
    <t>Valor promedio de la Tonelada de carbón 2021</t>
  </si>
  <si>
    <t>INFORME DE SOSTENIBILIDAD 2022</t>
  </si>
  <si>
    <t xml:space="preserve">DESEMPEÑO ENERGETICO </t>
  </si>
  <si>
    <t>UNIDAD 1</t>
  </si>
  <si>
    <t>UNIDAD 2</t>
  </si>
  <si>
    <t>UNIDAD 3</t>
  </si>
  <si>
    <t>Consumo Térmico Especifico</t>
  </si>
  <si>
    <t xml:space="preserve">MBTU/MWh </t>
  </si>
  <si>
    <t>Meta Anual</t>
  </si>
  <si>
    <t>Desempeño Energético 2021</t>
  </si>
  <si>
    <t>Condiciones Operativas 2021</t>
  </si>
  <si>
    <t xml:space="preserve">UNIDAD 1 </t>
  </si>
  <si>
    <t xml:space="preserve">UNIDAD 2 </t>
  </si>
  <si>
    <t xml:space="preserve">UNIDAD 3 </t>
  </si>
  <si>
    <t>DESEMPEÑO ENERGETICO</t>
  </si>
  <si>
    <t>EFICIENCIA PLANTA (%)</t>
  </si>
  <si>
    <t xml:space="preserve">Capacidad Nominal </t>
  </si>
  <si>
    <t xml:space="preserve">36 MW </t>
  </si>
  <si>
    <t xml:space="preserve">72 MW </t>
  </si>
  <si>
    <t xml:space="preserve">70 MW </t>
  </si>
  <si>
    <t xml:space="preserve">178MW </t>
  </si>
  <si>
    <t>MBTU/MWh</t>
  </si>
  <si>
    <t>EFICIENCIA (%)</t>
  </si>
  <si>
    <t xml:space="preserve">Generación promedio  </t>
  </si>
  <si>
    <t xml:space="preserve">Tiempo Operación </t>
  </si>
  <si>
    <t>Desempeño 1° Semestre 2021</t>
  </si>
  <si>
    <t>Desempeño a Agosto de 2021</t>
  </si>
  <si>
    <t xml:space="preserve">Aporte de Generación por unidad. </t>
  </si>
  <si>
    <t>Desempeño año 2021</t>
  </si>
  <si>
    <t xml:space="preserve">Cumplimiento de la meta </t>
  </si>
  <si>
    <t>NO CUMPLE</t>
  </si>
  <si>
    <t>CUMPLE</t>
  </si>
  <si>
    <t>F/S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</si>
</sst>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quot;$&quot;\ * #,##0.00_-;_-&quot;$&quot;\ * &quot;-&quot;??_-;_-@_-"/>
    <numFmt numFmtId="43" formatCode="_-* #,##0.00_-;\-* #,##0.00_-;_-* &quot;-&quot;??_-;_-@_-"/>
    <numFmt numFmtId="164" formatCode="_(* #,##0.00_);_(* \(#,##0.00\);_(* &quot;-&quot;??_);_(@_)"/>
    <numFmt numFmtId="165" formatCode="0.0000000000"/>
    <numFmt numFmtId="166" formatCode="0.000000"/>
    <numFmt numFmtId="167" formatCode="#,##0.000"/>
    <numFmt numFmtId="168" formatCode="0.000000000"/>
    <numFmt numFmtId="169" formatCode="_(* #,##0_);_(* \(#,##0\);_(* &quot;-&quot;??_);_(@_)"/>
    <numFmt numFmtId="170" formatCode="_-[$$-240A]\ * #,##0_-;\-[$$-240A]\ * #,##0_-;_-[$$-240A]\ * &quot;-&quot;??_-;_-@_-"/>
    <numFmt numFmtId="171" formatCode="_-&quot;$&quot;\ * #,##0_-;\-&quot;$&quot;\ * #,##0_-;_-&quot;$&quot;\ * &quot;-&quot;??_-;_-@_-"/>
    <numFmt numFmtId="172" formatCode="0.0000"/>
  </numFmts>
  <fonts count="21" x14ac:knownFonts="1">
    <font>
      <sz val="10"/>
      <name val="Arial"/>
    </font>
    <font>
      <b/>
      <sz val="10"/>
      <color theme="1"/>
      <name val="Arial"/>
      <family val="2"/>
    </font>
    <font>
      <sz val="10"/>
      <name val="Arial"/>
      <family val="2"/>
    </font>
    <font>
      <b/>
      <sz val="10"/>
      <name val="Arial"/>
      <family val="2"/>
    </font>
    <font>
      <b/>
      <sz val="10"/>
      <color rgb="FFFF0000"/>
      <name val="Arial"/>
      <family val="2"/>
    </font>
    <font>
      <sz val="10"/>
      <color rgb="FFFF0000"/>
      <name val="Arial"/>
      <family val="2"/>
    </font>
    <font>
      <sz val="10"/>
      <color theme="1"/>
      <name val="Arial"/>
      <family val="2"/>
    </font>
    <font>
      <b/>
      <sz val="16"/>
      <name val="Arial"/>
      <family val="2"/>
    </font>
    <font>
      <sz val="16"/>
      <name val="Arial"/>
      <family val="2"/>
    </font>
    <font>
      <b/>
      <sz val="10"/>
      <color theme="0"/>
      <name val="Arial"/>
      <family val="2"/>
    </font>
    <font>
      <sz val="11"/>
      <name val="Arial"/>
      <family val="2"/>
    </font>
    <font>
      <b/>
      <sz val="11"/>
      <name val="Arial"/>
      <family val="2"/>
    </font>
    <font>
      <sz val="14"/>
      <color rgb="FFFFFFFF"/>
      <name val="Calibri Light"/>
      <family val="2"/>
    </font>
    <font>
      <sz val="14"/>
      <color rgb="FFFFFFFF"/>
      <name val="Tahoma"/>
      <family val="2"/>
    </font>
    <font>
      <sz val="14"/>
      <color rgb="FF000000"/>
      <name val="Calibri"/>
      <family val="2"/>
    </font>
    <font>
      <sz val="14"/>
      <color rgb="FF000000"/>
      <name val="Calibri Light"/>
      <family val="2"/>
    </font>
    <font>
      <sz val="14"/>
      <color rgb="FF000000"/>
      <name val="Tahoma"/>
      <family val="2"/>
    </font>
    <font>
      <sz val="18"/>
      <name val="Arial"/>
      <family val="2"/>
    </font>
    <font>
      <sz val="14"/>
      <name val="Tahoma"/>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2F2F2"/>
        <bgColor indexed="64"/>
      </patternFill>
    </fill>
    <fill>
      <patternFill patternType="solid">
        <fgColor rgb="FF0070C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16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16">
    <xf numFmtId="0" fontId="0" fillId="0" borderId="0" xfId="0"/>
    <xf numFmtId="0" fontId="3" fillId="0" borderId="4" xfId="0" applyFont="1" applyBorder="1" applyAlignment="1">
      <alignment vertical="center" wrapText="1"/>
    </xf>
    <xf numFmtId="0" fontId="3" fillId="7" borderId="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0" borderId="0" xfId="0" applyFont="1" applyAlignment="1">
      <alignment horizontal="center" vertical="center"/>
    </xf>
    <xf numFmtId="0" fontId="4" fillId="0" borderId="5" xfId="0" applyFont="1" applyFill="1" applyBorder="1" applyAlignment="1">
      <alignment horizontal="center" vertical="center" wrapText="1"/>
    </xf>
    <xf numFmtId="0" fontId="2" fillId="8" borderId="5" xfId="0" applyFont="1" applyFill="1" applyBorder="1" applyAlignment="1">
      <alignment horizontal="center" wrapText="1"/>
    </xf>
    <xf numFmtId="0" fontId="1" fillId="2" borderId="5" xfId="0" applyFont="1" applyFill="1" applyBorder="1" applyAlignment="1">
      <alignment horizontal="center" vertical="center"/>
    </xf>
    <xf numFmtId="0" fontId="1" fillId="3" borderId="5" xfId="0" applyFont="1" applyFill="1" applyBorder="1" applyAlignment="1">
      <alignment horizontal="center" vertical="center"/>
    </xf>
    <xf numFmtId="164" fontId="3" fillId="4" borderId="5" xfId="1"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center" vertical="center"/>
    </xf>
    <xf numFmtId="0" fontId="3" fillId="6"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7" borderId="5" xfId="0" applyFont="1" applyFill="1" applyBorder="1" applyAlignment="1">
      <alignment horizontal="center" vertical="center"/>
    </xf>
    <xf numFmtId="0" fontId="4" fillId="5" borderId="5" xfId="0" applyFont="1" applyFill="1" applyBorder="1" applyAlignment="1">
      <alignment horizontal="center" vertical="center"/>
    </xf>
    <xf numFmtId="0" fontId="3" fillId="0" borderId="5" xfId="0" applyFont="1" applyFill="1" applyBorder="1" applyAlignment="1">
      <alignment horizontal="center"/>
    </xf>
    <xf numFmtId="0" fontId="3" fillId="8" borderId="5" xfId="0" applyFont="1" applyFill="1" applyBorder="1" applyAlignment="1">
      <alignment horizontal="center"/>
    </xf>
    <xf numFmtId="17" fontId="0" fillId="9" borderId="5" xfId="0" applyNumberFormat="1" applyFill="1" applyBorder="1"/>
    <xf numFmtId="4" fontId="2" fillId="0" borderId="5" xfId="0" applyNumberFormat="1" applyFont="1" applyBorder="1"/>
    <xf numFmtId="4" fontId="0" fillId="3" borderId="5" xfId="0" applyNumberFormat="1" applyFill="1" applyBorder="1"/>
    <xf numFmtId="4" fontId="0" fillId="0" borderId="5" xfId="0" applyNumberFormat="1" applyBorder="1"/>
    <xf numFmtId="164" fontId="0" fillId="4" borderId="5" xfId="1" applyFont="1" applyFill="1" applyBorder="1"/>
    <xf numFmtId="2" fontId="0" fillId="5" borderId="5" xfId="0" applyNumberFormat="1" applyFill="1" applyBorder="1" applyAlignment="1">
      <alignment horizontal="center"/>
    </xf>
    <xf numFmtId="3" fontId="0" fillId="0" borderId="5" xfId="0" applyNumberFormat="1" applyBorder="1" applyAlignment="1">
      <alignment horizontal="center"/>
    </xf>
    <xf numFmtId="2" fontId="0" fillId="6" borderId="5" xfId="0" applyNumberFormat="1" applyFill="1" applyBorder="1"/>
    <xf numFmtId="1" fontId="0" fillId="0" borderId="5" xfId="0" applyNumberFormat="1" applyBorder="1" applyAlignment="1">
      <alignment horizontal="center"/>
    </xf>
    <xf numFmtId="0" fontId="0" fillId="0" borderId="5" xfId="0" applyBorder="1" applyAlignment="1">
      <alignment horizontal="center"/>
    </xf>
    <xf numFmtId="2" fontId="0" fillId="5" borderId="5" xfId="0" applyNumberFormat="1" applyFill="1" applyBorder="1"/>
    <xf numFmtId="2" fontId="2" fillId="7" borderId="5" xfId="0" applyNumberFormat="1" applyFont="1" applyFill="1" applyBorder="1" applyAlignment="1">
      <alignment horizontal="center"/>
    </xf>
    <xf numFmtId="2" fontId="5" fillId="5" borderId="5" xfId="0" applyNumberFormat="1" applyFont="1" applyFill="1" applyBorder="1" applyAlignment="1">
      <alignment horizontal="center"/>
    </xf>
    <xf numFmtId="2" fontId="0" fillId="0" borderId="0" xfId="0" applyNumberFormat="1" applyFill="1" applyAlignment="1">
      <alignment horizontal="center"/>
    </xf>
    <xf numFmtId="2" fontId="6" fillId="8" borderId="5" xfId="3" applyNumberFormat="1" applyFont="1" applyFill="1" applyBorder="1" applyAlignment="1">
      <alignment horizontal="center"/>
    </xf>
    <xf numFmtId="10" fontId="5" fillId="5" borderId="5" xfId="3" applyNumberFormat="1" applyFont="1" applyFill="1" applyBorder="1" applyAlignment="1">
      <alignment horizontal="center"/>
    </xf>
    <xf numFmtId="10" fontId="6" fillId="0" borderId="0" xfId="3" applyNumberFormat="1" applyFont="1" applyFill="1" applyBorder="1" applyAlignment="1">
      <alignment horizontal="center"/>
    </xf>
    <xf numFmtId="2" fontId="0" fillId="0" borderId="0" xfId="0" applyNumberFormat="1" applyFill="1"/>
    <xf numFmtId="0" fontId="0" fillId="0" borderId="0" xfId="0" applyFill="1"/>
    <xf numFmtId="2" fontId="0" fillId="0" borderId="5" xfId="0" applyNumberFormat="1" applyFill="1" applyBorder="1" applyAlignment="1">
      <alignment horizontal="center"/>
    </xf>
    <xf numFmtId="17" fontId="0" fillId="0" borderId="0" xfId="0" applyNumberFormat="1"/>
    <xf numFmtId="17" fontId="0" fillId="0" borderId="7" xfId="0" applyNumberFormat="1" applyFill="1" applyBorder="1"/>
    <xf numFmtId="4" fontId="2" fillId="0" borderId="0" xfId="0" applyNumberFormat="1" applyFont="1" applyBorder="1"/>
    <xf numFmtId="164" fontId="0" fillId="0" borderId="0" xfId="1" applyFont="1"/>
    <xf numFmtId="2" fontId="0" fillId="0" borderId="0" xfId="0" applyNumberFormat="1" applyFill="1" applyBorder="1" applyAlignment="1">
      <alignment horizontal="center"/>
    </xf>
    <xf numFmtId="0" fontId="0" fillId="0" borderId="0" xfId="0" applyFill="1" applyAlignment="1"/>
    <xf numFmtId="2" fontId="0" fillId="0" borderId="0" xfId="0" applyNumberFormat="1" applyFill="1" applyBorder="1"/>
    <xf numFmtId="0" fontId="0" fillId="0" borderId="0" xfId="0" applyFill="1" applyBorder="1"/>
    <xf numFmtId="17" fontId="0" fillId="0" borderId="0" xfId="0" applyNumberFormat="1" applyFill="1" applyBorder="1"/>
    <xf numFmtId="0" fontId="8" fillId="0" borderId="0" xfId="0" applyFont="1" applyFill="1" applyAlignment="1">
      <alignment vertical="center"/>
    </xf>
    <xf numFmtId="0" fontId="8" fillId="0" borderId="0" xfId="0" applyFont="1" applyAlignment="1">
      <alignment vertical="center"/>
    </xf>
    <xf numFmtId="17" fontId="0" fillId="9" borderId="6" xfId="0" applyNumberFormat="1" applyFill="1" applyBorder="1"/>
    <xf numFmtId="4" fontId="2" fillId="0" borderId="6" xfId="0" applyNumberFormat="1" applyFont="1" applyBorder="1"/>
    <xf numFmtId="4" fontId="2" fillId="3" borderId="6" xfId="0" applyNumberFormat="1" applyFont="1" applyFill="1" applyBorder="1"/>
    <xf numFmtId="2" fontId="0" fillId="0" borderId="6" xfId="0" applyNumberFormat="1" applyBorder="1"/>
    <xf numFmtId="4" fontId="2" fillId="4" borderId="6" xfId="0" applyNumberFormat="1" applyFont="1" applyFill="1" applyBorder="1"/>
    <xf numFmtId="2" fontId="0" fillId="5" borderId="6" xfId="0" applyNumberFormat="1" applyFill="1" applyBorder="1" applyAlignment="1">
      <alignment horizontal="center"/>
    </xf>
    <xf numFmtId="3" fontId="2" fillId="0" borderId="6" xfId="0" applyNumberFormat="1" applyFont="1" applyBorder="1" applyAlignment="1">
      <alignment horizontal="center"/>
    </xf>
    <xf numFmtId="2" fontId="0" fillId="6" borderId="6" xfId="0" applyNumberFormat="1" applyFill="1" applyBorder="1"/>
    <xf numFmtId="1" fontId="0" fillId="0" borderId="6" xfId="0" applyNumberFormat="1" applyBorder="1" applyAlignment="1">
      <alignment horizontal="center"/>
    </xf>
    <xf numFmtId="0" fontId="0" fillId="0" borderId="6" xfId="0" applyBorder="1" applyAlignment="1">
      <alignment horizontal="center"/>
    </xf>
    <xf numFmtId="2" fontId="0" fillId="5" borderId="6" xfId="0" applyNumberFormat="1" applyFill="1" applyBorder="1"/>
    <xf numFmtId="2" fontId="2" fillId="7" borderId="6" xfId="0" applyNumberFormat="1" applyFont="1" applyFill="1" applyBorder="1" applyAlignment="1">
      <alignment horizontal="center"/>
    </xf>
    <xf numFmtId="2" fontId="5" fillId="5" borderId="6" xfId="0" applyNumberFormat="1" applyFont="1" applyFill="1" applyBorder="1" applyAlignment="1">
      <alignment horizontal="center"/>
    </xf>
    <xf numFmtId="165" fontId="0" fillId="0" borderId="0" xfId="0" applyNumberFormat="1" applyFill="1"/>
    <xf numFmtId="17" fontId="2" fillId="9" borderId="5" xfId="0" applyNumberFormat="1" applyFont="1" applyFill="1" applyBorder="1"/>
    <xf numFmtId="4" fontId="2" fillId="3" borderId="5" xfId="0" applyNumberFormat="1" applyFont="1" applyFill="1" applyBorder="1"/>
    <xf numFmtId="2" fontId="0" fillId="0" borderId="5" xfId="0" applyNumberFormat="1" applyBorder="1"/>
    <xf numFmtId="4" fontId="2" fillId="4" borderId="5" xfId="0" applyNumberFormat="1" applyFont="1" applyFill="1" applyBorder="1"/>
    <xf numFmtId="3" fontId="2" fillId="0" borderId="5" xfId="0" applyNumberFormat="1" applyFont="1" applyBorder="1" applyAlignment="1">
      <alignment horizontal="center"/>
    </xf>
    <xf numFmtId="2" fontId="5"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4" fontId="2" fillId="0" borderId="0" xfId="0" applyNumberFormat="1" applyFont="1" applyFill="1" applyBorder="1"/>
    <xf numFmtId="164" fontId="0" fillId="0" borderId="0" xfId="1" applyFont="1" applyFill="1" applyBorder="1"/>
    <xf numFmtId="2" fontId="0" fillId="0" borderId="0" xfId="0" applyNumberFormat="1" applyFill="1" applyBorder="1" applyAlignment="1"/>
    <xf numFmtId="166" fontId="0" fillId="0" borderId="0" xfId="0" applyNumberFormat="1" applyFill="1" applyBorder="1"/>
    <xf numFmtId="2" fontId="0" fillId="0" borderId="0" xfId="0" applyNumberFormat="1" applyFill="1" applyBorder="1" applyAlignment="1">
      <alignment vertical="center"/>
    </xf>
    <xf numFmtId="2"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4" fontId="0" fillId="0" borderId="0" xfId="0" applyNumberFormat="1" applyFill="1" applyBorder="1"/>
    <xf numFmtId="4" fontId="0" fillId="0" borderId="0" xfId="1" applyNumberFormat="1" applyFont="1" applyFill="1" applyBorder="1"/>
    <xf numFmtId="4" fontId="0" fillId="0" borderId="5" xfId="0" applyNumberFormat="1" applyFill="1" applyBorder="1" applyAlignment="1">
      <alignment horizontal="center" vertical="center"/>
    </xf>
    <xf numFmtId="3" fontId="2" fillId="0" borderId="5" xfId="0" applyNumberFormat="1" applyFont="1" applyFill="1" applyBorder="1" applyAlignment="1">
      <alignment horizontal="center" vertical="center"/>
    </xf>
    <xf numFmtId="3" fontId="0" fillId="0" borderId="5" xfId="0" applyNumberFormat="1" applyFill="1" applyBorder="1" applyAlignment="1">
      <alignment horizontal="center" vertical="center"/>
    </xf>
    <xf numFmtId="9" fontId="2" fillId="0" borderId="5" xfId="3" applyNumberFormat="1" applyFont="1" applyFill="1" applyBorder="1" applyAlignment="1">
      <alignment horizontal="center" vertical="center"/>
    </xf>
    <xf numFmtId="4" fontId="0" fillId="0" borderId="0" xfId="0" applyNumberFormat="1" applyFill="1" applyBorder="1" applyAlignment="1"/>
    <xf numFmtId="4" fontId="2" fillId="0" borderId="5" xfId="0" applyNumberFormat="1" applyFont="1" applyFill="1" applyBorder="1" applyAlignment="1">
      <alignment horizontal="center" vertical="center"/>
    </xf>
    <xf numFmtId="167" fontId="2" fillId="0" borderId="0" xfId="0" applyNumberFormat="1" applyFont="1" applyFill="1" applyBorder="1"/>
    <xf numFmtId="17" fontId="0" fillId="0" borderId="6" xfId="0" applyNumberFormat="1" applyFill="1" applyBorder="1"/>
    <xf numFmtId="4" fontId="0" fillId="10" borderId="5" xfId="0" applyNumberFormat="1" applyFill="1" applyBorder="1" applyAlignment="1">
      <alignment horizontal="center" vertical="center"/>
    </xf>
    <xf numFmtId="3" fontId="0" fillId="10" borderId="5" xfId="0" applyNumberFormat="1" applyFill="1" applyBorder="1" applyAlignment="1">
      <alignment horizontal="center" vertical="center"/>
    </xf>
    <xf numFmtId="10" fontId="2" fillId="10" borderId="5" xfId="3" applyNumberFormat="1" applyFont="1" applyFill="1" applyBorder="1" applyAlignment="1">
      <alignment horizontal="center" vertical="center"/>
    </xf>
    <xf numFmtId="1" fontId="0" fillId="0" borderId="0" xfId="0" applyNumberFormat="1" applyFill="1" applyBorder="1" applyAlignment="1">
      <alignment horizontal="center" vertical="center"/>
    </xf>
    <xf numFmtId="10" fontId="0" fillId="0" borderId="0" xfId="3" applyNumberFormat="1" applyFont="1" applyFill="1" applyBorder="1"/>
    <xf numFmtId="2" fontId="0" fillId="0" borderId="0" xfId="3" applyNumberFormat="1" applyFont="1" applyFill="1" applyBorder="1"/>
    <xf numFmtId="1" fontId="0" fillId="0" borderId="0" xfId="0" applyNumberFormat="1" applyFill="1" applyBorder="1" applyAlignment="1">
      <alignment horizontal="center"/>
    </xf>
    <xf numFmtId="0" fontId="0" fillId="0" borderId="0" xfId="0" applyFill="1" applyBorder="1" applyAlignment="1">
      <alignment horizontal="center"/>
    </xf>
    <xf numFmtId="2" fontId="2"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17" fontId="2" fillId="0" borderId="0" xfId="0" applyNumberFormat="1" applyFont="1" applyFill="1" applyBorder="1"/>
    <xf numFmtId="0" fontId="3" fillId="5" borderId="5" xfId="0" applyFont="1" applyFill="1" applyBorder="1" applyAlignment="1">
      <alignment horizontal="center"/>
    </xf>
    <xf numFmtId="0" fontId="2" fillId="0" borderId="0" xfId="0" applyFont="1" applyFill="1" applyBorder="1"/>
    <xf numFmtId="0" fontId="2" fillId="0" borderId="0" xfId="0" applyFont="1" applyAlignment="1">
      <alignment horizontal="center" wrapText="1"/>
    </xf>
    <xf numFmtId="0" fontId="3" fillId="11" borderId="5" xfId="0" applyFont="1" applyFill="1" applyBorder="1" applyAlignment="1">
      <alignment horizontal="center" vertical="center"/>
    </xf>
    <xf numFmtId="0" fontId="3" fillId="11"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0" fillId="0" borderId="0" xfId="0" applyFill="1" applyBorder="1" applyAlignment="1"/>
    <xf numFmtId="168" fontId="2" fillId="0" borderId="0" xfId="0" applyNumberFormat="1" applyFont="1" applyAlignment="1">
      <alignment horizontal="center"/>
    </xf>
    <xf numFmtId="2" fontId="2" fillId="0" borderId="0" xfId="0" applyNumberFormat="1" applyFont="1" applyAlignment="1">
      <alignment horizontal="center"/>
    </xf>
    <xf numFmtId="17" fontId="0" fillId="0" borderId="5" xfId="0" applyNumberFormat="1" applyBorder="1"/>
    <xf numFmtId="164" fontId="0" fillId="0" borderId="5" xfId="1" applyNumberFormat="1" applyFont="1" applyBorder="1" applyAlignment="1">
      <alignment horizontal="right"/>
    </xf>
    <xf numFmtId="2" fontId="0" fillId="0" borderId="5" xfId="0" applyNumberFormat="1" applyFill="1" applyBorder="1"/>
    <xf numFmtId="17" fontId="0" fillId="0" borderId="5" xfId="1" applyNumberFormat="1" applyFont="1" applyFill="1" applyBorder="1" applyAlignment="1">
      <alignment horizontal="right"/>
    </xf>
    <xf numFmtId="164" fontId="0" fillId="0" borderId="5" xfId="0" applyNumberFormat="1" applyBorder="1" applyAlignment="1">
      <alignment horizontal="right"/>
    </xf>
    <xf numFmtId="164" fontId="0" fillId="5" borderId="5" xfId="0" applyNumberFormat="1" applyFill="1" applyBorder="1" applyAlignment="1">
      <alignment horizontal="right"/>
    </xf>
    <xf numFmtId="10" fontId="0" fillId="5" borderId="5" xfId="3" applyNumberFormat="1" applyFont="1" applyFill="1" applyBorder="1" applyAlignment="1">
      <alignment horizontal="right"/>
    </xf>
    <xf numFmtId="10" fontId="2" fillId="5" borderId="5" xfId="3" applyNumberFormat="1" applyFont="1" applyFill="1" applyBorder="1" applyAlignment="1">
      <alignment horizontal="right"/>
    </xf>
    <xf numFmtId="169" fontId="0" fillId="0" borderId="5" xfId="1" applyNumberFormat="1" applyFont="1" applyBorder="1" applyAlignment="1">
      <alignment horizontal="right"/>
    </xf>
    <xf numFmtId="164" fontId="0" fillId="5" borderId="5" xfId="1" applyNumberFormat="1" applyFont="1" applyFill="1" applyBorder="1" applyAlignment="1">
      <alignment horizontal="right"/>
    </xf>
    <xf numFmtId="0" fontId="3" fillId="0" borderId="0" xfId="0" applyFont="1" applyFill="1" applyBorder="1"/>
    <xf numFmtId="0" fontId="9" fillId="0" borderId="0" xfId="0" applyFont="1"/>
    <xf numFmtId="0" fontId="3" fillId="0" borderId="0" xfId="0" applyFont="1"/>
    <xf numFmtId="0" fontId="3" fillId="0" borderId="5" xfId="0" applyFont="1" applyBorder="1"/>
    <xf numFmtId="0" fontId="3" fillId="0" borderId="5" xfId="0" applyFont="1" applyBorder="1" applyAlignment="1">
      <alignment horizontal="right"/>
    </xf>
    <xf numFmtId="164" fontId="3" fillId="0" borderId="5" xfId="1" applyNumberFormat="1" applyFont="1" applyBorder="1" applyAlignment="1">
      <alignment horizontal="right"/>
    </xf>
    <xf numFmtId="0" fontId="3" fillId="0" borderId="5" xfId="0" applyFont="1" applyFill="1" applyBorder="1" applyAlignment="1">
      <alignment horizontal="right"/>
    </xf>
    <xf numFmtId="164" fontId="3" fillId="0" borderId="5" xfId="0" applyNumberFormat="1" applyFont="1" applyBorder="1" applyAlignment="1">
      <alignment horizontal="right"/>
    </xf>
    <xf numFmtId="164" fontId="3" fillId="5" borderId="5" xfId="0" applyNumberFormat="1" applyFont="1" applyFill="1" applyBorder="1" applyAlignment="1">
      <alignment horizontal="right"/>
    </xf>
    <xf numFmtId="10" fontId="3" fillId="5" borderId="5" xfId="3" applyNumberFormat="1" applyFont="1" applyFill="1" applyBorder="1" applyAlignment="1">
      <alignment horizontal="right"/>
    </xf>
    <xf numFmtId="2" fontId="4" fillId="5" borderId="5" xfId="0" applyNumberFormat="1" applyFont="1" applyFill="1" applyBorder="1"/>
    <xf numFmtId="0" fontId="3" fillId="0" borderId="0" xfId="0" applyFont="1" applyFill="1" applyBorder="1" applyAlignment="1"/>
    <xf numFmtId="0" fontId="2" fillId="5" borderId="5" xfId="0" applyFont="1" applyFill="1" applyBorder="1"/>
    <xf numFmtId="43" fontId="0" fillId="0" borderId="0" xfId="0" applyNumberFormat="1" applyFill="1" applyBorder="1"/>
    <xf numFmtId="170" fontId="0" fillId="5" borderId="5" xfId="0" applyNumberFormat="1" applyFill="1" applyBorder="1"/>
    <xf numFmtId="170" fontId="0" fillId="0" borderId="0" xfId="2" applyNumberFormat="1" applyFont="1" applyFill="1" applyBorder="1"/>
    <xf numFmtId="0" fontId="2" fillId="0" borderId="0" xfId="0" applyFont="1" applyFill="1" applyBorder="1" applyAlignment="1"/>
    <xf numFmtId="43" fontId="0" fillId="0" borderId="0" xfId="0" applyNumberFormat="1"/>
    <xf numFmtId="0" fontId="0" fillId="0" borderId="0" xfId="0" applyAlignment="1"/>
    <xf numFmtId="0" fontId="10" fillId="12" borderId="11" xfId="0" applyFont="1" applyFill="1" applyBorder="1" applyAlignment="1">
      <alignment vertical="center" wrapText="1"/>
    </xf>
    <xf numFmtId="0" fontId="10" fillId="12" borderId="12" xfId="0" applyFont="1" applyFill="1" applyBorder="1" applyAlignment="1">
      <alignment horizontal="center" vertical="center" wrapText="1"/>
    </xf>
    <xf numFmtId="0" fontId="10" fillId="12" borderId="13" xfId="0" applyFont="1" applyFill="1" applyBorder="1" applyAlignment="1">
      <alignment vertical="center" wrapText="1"/>
    </xf>
    <xf numFmtId="0" fontId="11" fillId="0" borderId="13" xfId="0" applyFont="1" applyBorder="1" applyAlignment="1">
      <alignment horizontal="center" vertical="center" wrapText="1"/>
    </xf>
    <xf numFmtId="2" fontId="10" fillId="10" borderId="12" xfId="0" applyNumberFormat="1" applyFont="1" applyFill="1" applyBorder="1" applyAlignment="1">
      <alignment horizontal="center" vertical="center" wrapText="1"/>
    </xf>
    <xf numFmtId="0" fontId="11" fillId="0" borderId="13" xfId="0" applyFont="1" applyBorder="1" applyAlignment="1">
      <alignment vertical="center" wrapText="1"/>
    </xf>
    <xf numFmtId="0" fontId="10" fillId="10" borderId="12" xfId="0" applyFont="1" applyFill="1" applyBorder="1" applyAlignment="1">
      <alignment horizontal="center" vertical="center" wrapText="1"/>
    </xf>
    <xf numFmtId="0" fontId="12" fillId="13" borderId="14" xfId="0" applyFont="1" applyFill="1" applyBorder="1" applyAlignment="1">
      <alignment horizontal="center" vertical="center" wrapText="1" readingOrder="1"/>
    </xf>
    <xf numFmtId="0" fontId="13" fillId="13" borderId="14" xfId="0" applyFont="1" applyFill="1" applyBorder="1" applyAlignment="1">
      <alignment horizontal="center" vertical="center" wrapText="1" readingOrder="1"/>
    </xf>
    <xf numFmtId="0" fontId="10" fillId="0" borderId="13" xfId="0" applyFont="1" applyBorder="1" applyAlignment="1">
      <alignment vertical="center" wrapText="1"/>
    </xf>
    <xf numFmtId="0" fontId="12" fillId="13" borderId="15" xfId="0" applyFont="1" applyFill="1" applyBorder="1" applyAlignment="1">
      <alignment horizontal="center" vertical="center" wrapText="1" readingOrder="1"/>
    </xf>
    <xf numFmtId="0" fontId="13" fillId="13" borderId="15" xfId="0" applyFont="1" applyFill="1" applyBorder="1" applyAlignment="1">
      <alignment horizontal="center" vertical="center" wrapText="1" readingOrder="1"/>
    </xf>
    <xf numFmtId="44" fontId="0" fillId="0" borderId="0" xfId="2" applyFont="1"/>
    <xf numFmtId="0" fontId="14" fillId="0" borderId="16" xfId="0" applyFont="1" applyBorder="1" applyAlignment="1">
      <alignment horizontal="center" wrapText="1" readingOrder="1"/>
    </xf>
    <xf numFmtId="2" fontId="15" fillId="0" borderId="16" xfId="0" applyNumberFormat="1" applyFont="1" applyBorder="1" applyAlignment="1">
      <alignment horizontal="center" vertical="center" wrapText="1" readingOrder="1"/>
    </xf>
    <xf numFmtId="2" fontId="14" fillId="0" borderId="16" xfId="0" applyNumberFormat="1" applyFont="1" applyBorder="1" applyAlignment="1">
      <alignment horizontal="center" vertical="center" wrapText="1" readingOrder="1"/>
    </xf>
    <xf numFmtId="0" fontId="15" fillId="0" borderId="16" xfId="0" applyFont="1" applyBorder="1" applyAlignment="1">
      <alignment horizontal="center" vertical="center" wrapText="1" readingOrder="1"/>
    </xf>
    <xf numFmtId="0" fontId="16" fillId="0" borderId="16" xfId="0" applyFont="1" applyBorder="1" applyAlignment="1">
      <alignment horizontal="center" vertical="center" wrapText="1" readingOrder="1"/>
    </xf>
    <xf numFmtId="10" fontId="16" fillId="0" borderId="16" xfId="3" applyNumberFormat="1" applyFont="1" applyBorder="1" applyAlignment="1">
      <alignment horizontal="center" vertical="center" wrapText="1" readingOrder="1"/>
    </xf>
    <xf numFmtId="10" fontId="10" fillId="10" borderId="12"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171" fontId="0" fillId="0" borderId="0" xfId="2" applyNumberFormat="1" applyFont="1"/>
    <xf numFmtId="0" fontId="14" fillId="8" borderId="16" xfId="0" applyFont="1" applyFill="1" applyBorder="1" applyAlignment="1">
      <alignment horizontal="center" vertical="center" wrapText="1" readingOrder="1"/>
    </xf>
    <xf numFmtId="0" fontId="15" fillId="8" borderId="16" xfId="0" applyFont="1" applyFill="1" applyBorder="1" applyAlignment="1">
      <alignment horizontal="center" vertical="center" wrapText="1" readingOrder="1"/>
    </xf>
    <xf numFmtId="10" fontId="0" fillId="0" borderId="0" xfId="0" applyNumberFormat="1"/>
    <xf numFmtId="0" fontId="14" fillId="0" borderId="16" xfId="0" applyFont="1" applyBorder="1" applyAlignment="1">
      <alignment horizontal="left" wrapText="1" readingOrder="1"/>
    </xf>
    <xf numFmtId="0" fontId="17" fillId="0" borderId="16" xfId="0" applyFont="1" applyBorder="1" applyAlignment="1">
      <alignment horizontal="center" vertical="center" wrapText="1"/>
    </xf>
    <xf numFmtId="0" fontId="16" fillId="0" borderId="16" xfId="0" applyFont="1" applyBorder="1" applyAlignment="1">
      <alignment horizontal="left" vertical="center" wrapText="1" readingOrder="1"/>
    </xf>
    <xf numFmtId="10" fontId="18" fillId="9" borderId="16" xfId="3" applyNumberFormat="1" applyFont="1" applyFill="1" applyBorder="1" applyAlignment="1">
      <alignment horizontal="center" vertical="center" wrapText="1" readingOrder="1"/>
    </xf>
    <xf numFmtId="10" fontId="18" fillId="10" borderId="16" xfId="3" applyNumberFormat="1" applyFont="1" applyFill="1" applyBorder="1" applyAlignment="1">
      <alignment horizontal="center" vertical="center" wrapText="1" readingOrder="1"/>
    </xf>
    <xf numFmtId="0" fontId="18" fillId="0" borderId="16" xfId="0" applyFont="1" applyBorder="1" applyAlignment="1">
      <alignment horizontal="center" vertical="center" wrapText="1"/>
    </xf>
    <xf numFmtId="0" fontId="14" fillId="0" borderId="16" xfId="0" applyFont="1" applyBorder="1" applyAlignment="1">
      <alignment horizontal="left" vertical="center" wrapText="1" readingOrder="1"/>
    </xf>
    <xf numFmtId="10" fontId="17" fillId="0" borderId="16" xfId="3" applyNumberFormat="1" applyFont="1" applyBorder="1" applyAlignment="1">
      <alignment horizontal="center" vertical="center" wrapText="1" readingOrder="1"/>
    </xf>
    <xf numFmtId="2" fontId="0" fillId="0" borderId="0" xfId="0" applyNumberFormat="1"/>
    <xf numFmtId="2" fontId="0" fillId="0" borderId="0" xfId="1" applyNumberFormat="1" applyFont="1"/>
    <xf numFmtId="10" fontId="0" fillId="0" borderId="0" xfId="3" applyNumberFormat="1" applyFont="1"/>
    <xf numFmtId="14" fontId="0" fillId="0" borderId="0" xfId="0" applyNumberFormat="1" applyFill="1"/>
    <xf numFmtId="2" fontId="0" fillId="0" borderId="0" xfId="0" applyNumberFormat="1" applyAlignment="1"/>
    <xf numFmtId="172" fontId="0" fillId="0" borderId="0" xfId="0" applyNumberFormat="1" applyFill="1"/>
    <xf numFmtId="0" fontId="13" fillId="13" borderId="14" xfId="0" applyFont="1" applyFill="1" applyBorder="1" applyAlignment="1">
      <alignment horizontal="left" vertical="center" wrapText="1" readingOrder="1"/>
    </xf>
    <xf numFmtId="0" fontId="13" fillId="13" borderId="15" xfId="0" applyFont="1" applyFill="1" applyBorder="1" applyAlignment="1">
      <alignment horizontal="left" vertical="center" wrapText="1" readingOrder="1"/>
    </xf>
    <xf numFmtId="0" fontId="2" fillId="0" borderId="5" xfId="0" applyFont="1" applyFill="1" applyBorder="1" applyAlignment="1">
      <alignment horizontal="center" wrapText="1"/>
    </xf>
    <xf numFmtId="17" fontId="7" fillId="0" borderId="8" xfId="0" applyNumberFormat="1" applyFont="1" applyFill="1" applyBorder="1" applyAlignment="1">
      <alignment horizontal="center" vertical="center"/>
    </xf>
    <xf numFmtId="17" fontId="7" fillId="0" borderId="9" xfId="0" applyNumberFormat="1" applyFont="1" applyFill="1" applyBorder="1" applyAlignment="1">
      <alignment horizontal="center" vertical="center"/>
    </xf>
    <xf numFmtId="17" fontId="7" fillId="0" borderId="10" xfId="0" applyNumberFormat="1" applyFont="1" applyFill="1" applyBorder="1" applyAlignment="1">
      <alignment horizontal="center" vertical="center"/>
    </xf>
    <xf numFmtId="0" fontId="3" fillId="11" borderId="2" xfId="0" applyFont="1" applyFill="1" applyBorder="1" applyAlignment="1">
      <alignment horizontal="center"/>
    </xf>
    <xf numFmtId="0" fontId="3" fillId="11" borderId="3" xfId="0" applyFont="1" applyFill="1" applyBorder="1" applyAlignment="1">
      <alignment horizontal="center"/>
    </xf>
    <xf numFmtId="0" fontId="3" fillId="11" borderId="4" xfId="0" applyFont="1" applyFill="1" applyBorder="1" applyAlignment="1">
      <alignment horizontal="center"/>
    </xf>
    <xf numFmtId="0" fontId="3" fillId="5" borderId="8"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3" fillId="4" borderId="5" xfId="1" applyFont="1" applyFill="1" applyBorder="1" applyAlignment="1">
      <alignment horizontal="center" vertical="center" wrapText="1"/>
    </xf>
    <xf numFmtId="164" fontId="3" fillId="4" borderId="5" xfId="1"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0" borderId="5" xfId="0" applyFont="1" applyBorder="1" applyAlignment="1">
      <alignment horizontal="center" vertical="center" wrapText="1"/>
    </xf>
    <xf numFmtId="0" fontId="3" fillId="6" borderId="5"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2" fillId="13" borderId="14" xfId="0" applyFont="1" applyFill="1" applyBorder="1" applyAlignment="1">
      <alignment horizontal="left" vertical="center" wrapText="1" readingOrder="1"/>
    </xf>
    <xf numFmtId="0" fontId="12" fillId="13" borderId="15" xfId="0" applyFont="1" applyFill="1" applyBorder="1" applyAlignment="1">
      <alignment horizontal="left" vertical="center" wrapText="1" readingOrder="1"/>
    </xf>
    <xf numFmtId="0" fontId="12" fillId="13" borderId="14" xfId="0" applyFont="1" applyFill="1" applyBorder="1" applyAlignment="1">
      <alignment horizontal="center" vertical="center" wrapText="1" readingOrder="1"/>
    </xf>
    <xf numFmtId="0" fontId="12" fillId="13" borderId="15" xfId="0" applyFont="1" applyFill="1" applyBorder="1" applyAlignment="1">
      <alignment horizontal="center" vertical="center" wrapText="1" readingOrder="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a:t>DESEMPEÑO</a:t>
            </a:r>
            <a:r>
              <a:rPr lang="es-CO" baseline="0"/>
              <a:t>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baseline="0"/>
              <a:t>UNIDAD UNO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u="none" strike="noStrike" kern="1200" spc="0" baseline="0">
                <a:solidFill>
                  <a:sysClr val="windowText" lastClr="000000">
                    <a:lumMod val="65000"/>
                    <a:lumOff val="35000"/>
                  </a:sysClr>
                </a:solidFill>
                <a:latin typeface="+mn-lt"/>
                <a:ea typeface="+mn-ea"/>
                <a:cs typeface="+mn-cs"/>
              </a:rPr>
              <a:t>META 2022 ≤ 12,23 MBTU/MWh</a:t>
            </a:r>
          </a:p>
        </c:rich>
      </c:tx>
      <c:layout>
        <c:manualLayout>
          <c:xMode val="edge"/>
          <c:yMode val="edge"/>
          <c:x val="0.19126686035447851"/>
          <c:y val="2.3148190466241406E-2"/>
        </c:manualLayout>
      </c:layout>
      <c:overlay val="0"/>
      <c:spPr>
        <a:noFill/>
        <a:ln>
          <a:noFill/>
        </a:ln>
        <a:effectLst/>
      </c:spPr>
    </c:title>
    <c:autoTitleDeleted val="0"/>
    <c:plotArea>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MENSUAL!$Y$33:$Y$34</c:f>
            </c:numRef>
          </c:val>
          <c:smooth val="0"/>
          <c:extLst xmlns:c16r2="http://schemas.microsoft.com/office/drawing/2015/06/chart">
            <c:ext xmlns:c16="http://schemas.microsoft.com/office/drawing/2014/chart" uri="{C3380CC4-5D6E-409C-BE32-E72D297353CC}">
              <c16:uniqueId val="{00000000-A59F-4941-944A-D258636279D7}"/>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MENSUAL!$AL$6:$AL$9</c:f>
            </c:numRef>
          </c:val>
          <c:smooth val="0"/>
          <c:extLst xmlns:c16r2="http://schemas.microsoft.com/office/drawing/2015/06/chart">
            <c:ext xmlns:c16="http://schemas.microsoft.com/office/drawing/2014/chart" uri="{C3380CC4-5D6E-409C-BE32-E72D297353CC}">
              <c16:uniqueId val="{00000001-A59F-4941-944A-D258636279D7}"/>
            </c:ext>
          </c:extLst>
        </c:ser>
        <c:dLbls>
          <c:showLegendKey val="0"/>
          <c:showVal val="0"/>
          <c:showCatName val="0"/>
          <c:showSerName val="0"/>
          <c:showPercent val="0"/>
          <c:showBubbleSize val="0"/>
        </c:dLbls>
        <c:marker val="1"/>
        <c:smooth val="0"/>
        <c:axId val="195431536"/>
        <c:axId val="195431928"/>
      </c:lineChart>
      <c:catAx>
        <c:axId val="1954315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5431928"/>
        <c:crosses val="autoZero"/>
        <c:auto val="1"/>
        <c:lblAlgn val="ctr"/>
        <c:lblOffset val="100"/>
        <c:noMultiLvlLbl val="0"/>
      </c:catAx>
      <c:valAx>
        <c:axId val="195431928"/>
        <c:scaling>
          <c:orientation val="minMax"/>
          <c:max val="13"/>
          <c:min val="1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5431536"/>
        <c:crosses val="autoZero"/>
        <c:crossBetween val="between"/>
      </c:valAx>
      <c:spPr>
        <a:noFill/>
        <a:ln>
          <a:noFill/>
        </a:ln>
        <a:effectLst/>
      </c:spPr>
    </c:plotArea>
    <c:legend>
      <c:legendPos val="b"/>
      <c:layout>
        <c:manualLayout>
          <c:xMode val="edge"/>
          <c:yMode val="edge"/>
          <c:x val="9.4486553378651198E-3"/>
          <c:y val="0.84138883119568364"/>
          <c:w val="0.98619471828788574"/>
          <c:h val="0.14935754088482026"/>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UNIDAD DOS</a:t>
            </a:r>
            <a:endParaRPr lang="es-CO" sz="1400">
              <a:effectLst/>
            </a:endParaRP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11,24 MBTU/MWh</a:t>
            </a:r>
            <a:endParaRPr lang="es-CO" sz="1400">
              <a:effectLst/>
            </a:endParaRPr>
          </a:p>
        </c:rich>
      </c:tx>
      <c:layout>
        <c:manualLayout>
          <c:xMode val="edge"/>
          <c:yMode val="edge"/>
          <c:x val="0.21547864825688534"/>
          <c:y val="3.5520397990563314E-2"/>
        </c:manualLayout>
      </c:layout>
      <c:overlay val="0"/>
      <c:spPr>
        <a:noFill/>
        <a:ln>
          <a:noFill/>
        </a:ln>
        <a:effectLst/>
      </c:spPr>
    </c:title>
    <c:autoTitleDeleted val="0"/>
    <c:plotArea>
      <c:layout>
        <c:manualLayout>
          <c:layoutTarget val="inner"/>
          <c:xMode val="edge"/>
          <c:yMode val="edge"/>
          <c:x val="8.3515876510610709E-2"/>
          <c:y val="0.21993417980130503"/>
          <c:w val="0.89048451580988308"/>
          <c:h val="0.57655340091275475"/>
        </c:manualLayout>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MENSUAL!$Z$33:$Z$34</c:f>
            </c:numRef>
          </c:val>
          <c:smooth val="0"/>
          <c:extLst xmlns:c16r2="http://schemas.microsoft.com/office/drawing/2015/06/chart">
            <c:ext xmlns:c16="http://schemas.microsoft.com/office/drawing/2014/chart" uri="{C3380CC4-5D6E-409C-BE32-E72D297353CC}">
              <c16:uniqueId val="{00000000-28D6-44EC-AA4B-20C102EA7FA1}"/>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MENSUAL!$AM$6:$AM$9</c:f>
            </c:numRef>
          </c:val>
          <c:smooth val="0"/>
          <c:extLst xmlns:c16r2="http://schemas.microsoft.com/office/drawing/2015/06/chart">
            <c:ext xmlns:c16="http://schemas.microsoft.com/office/drawing/2014/chart" uri="{C3380CC4-5D6E-409C-BE32-E72D297353CC}">
              <c16:uniqueId val="{00000001-28D6-44EC-AA4B-20C102EA7FA1}"/>
            </c:ext>
          </c:extLst>
        </c:ser>
        <c:dLbls>
          <c:showLegendKey val="0"/>
          <c:showVal val="0"/>
          <c:showCatName val="0"/>
          <c:showSerName val="0"/>
          <c:showPercent val="0"/>
          <c:showBubbleSize val="0"/>
        </c:dLbls>
        <c:marker val="1"/>
        <c:smooth val="0"/>
        <c:axId val="195426440"/>
        <c:axId val="195432320"/>
      </c:lineChart>
      <c:catAx>
        <c:axId val="1954264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5432320"/>
        <c:crosses val="autoZero"/>
        <c:auto val="1"/>
        <c:lblAlgn val="ctr"/>
        <c:lblOffset val="100"/>
        <c:noMultiLvlLbl val="0"/>
      </c:catAx>
      <c:valAx>
        <c:axId val="195432320"/>
        <c:scaling>
          <c:orientation val="minMax"/>
          <c:max val="13"/>
          <c:min val="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5426440"/>
        <c:crosses val="autoZero"/>
        <c:crossBetween val="between"/>
      </c:valAx>
      <c:spPr>
        <a:noFill/>
        <a:ln>
          <a:noFill/>
        </a:ln>
        <a:effectLst/>
      </c:spPr>
    </c:plotArea>
    <c:legend>
      <c:legendPos val="b"/>
      <c:layout>
        <c:manualLayout>
          <c:xMode val="edge"/>
          <c:yMode val="edge"/>
          <c:x val="9.4486553378651198E-3"/>
          <c:y val="0.78816091290064716"/>
          <c:w val="0.98619471828788574"/>
          <c:h val="0.20258530290033744"/>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UNIDAD TRES</a:t>
            </a:r>
            <a:endParaRPr lang="es-CO" sz="1400">
              <a:effectLst/>
            </a:endParaRP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11,42 MBTU/MWh</a:t>
            </a:r>
          </a:p>
        </c:rich>
      </c:tx>
      <c:layout>
        <c:manualLayout>
          <c:xMode val="edge"/>
          <c:yMode val="edge"/>
          <c:x val="0.19046729729620751"/>
          <c:y val="3.577530336127574E-2"/>
        </c:manualLayout>
      </c:layout>
      <c:overlay val="0"/>
      <c:spPr>
        <a:noFill/>
        <a:ln>
          <a:noFill/>
        </a:ln>
        <a:effectLst/>
      </c:spPr>
    </c:title>
    <c:autoTitleDeleted val="0"/>
    <c:plotArea>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MENSUAL!$AA$33:$AA$34</c:f>
            </c:numRef>
          </c:val>
          <c:smooth val="0"/>
          <c:extLst xmlns:c16r2="http://schemas.microsoft.com/office/drawing/2015/06/chart">
            <c:ext xmlns:c16="http://schemas.microsoft.com/office/drawing/2014/chart" uri="{C3380CC4-5D6E-409C-BE32-E72D297353CC}">
              <c16:uniqueId val="{00000000-1FEC-4BAB-9E46-0EA9D2F89225}"/>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MENSUAL!$AN$6:$AN$9</c:f>
            </c:numRef>
          </c:val>
          <c:smooth val="0"/>
          <c:extLst xmlns:c16r2="http://schemas.microsoft.com/office/drawing/2015/06/chart">
            <c:ext xmlns:c16="http://schemas.microsoft.com/office/drawing/2014/chart" uri="{C3380CC4-5D6E-409C-BE32-E72D297353CC}">
              <c16:uniqueId val="{00000001-1FEC-4BAB-9E46-0EA9D2F89225}"/>
            </c:ext>
          </c:extLst>
        </c:ser>
        <c:dLbls>
          <c:showLegendKey val="0"/>
          <c:showVal val="0"/>
          <c:showCatName val="0"/>
          <c:showSerName val="0"/>
          <c:showPercent val="0"/>
          <c:showBubbleSize val="0"/>
        </c:dLbls>
        <c:marker val="1"/>
        <c:smooth val="0"/>
        <c:axId val="195429968"/>
        <c:axId val="195432712"/>
      </c:lineChart>
      <c:catAx>
        <c:axId val="195429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5432712"/>
        <c:crosses val="autoZero"/>
        <c:auto val="1"/>
        <c:lblAlgn val="ctr"/>
        <c:lblOffset val="100"/>
        <c:noMultiLvlLbl val="0"/>
      </c:catAx>
      <c:valAx>
        <c:axId val="195432712"/>
        <c:scaling>
          <c:orientation val="minMax"/>
          <c:max val="13"/>
          <c:min val="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5429968"/>
        <c:crosses val="autoZero"/>
        <c:crossBetween val="between"/>
      </c:valAx>
      <c:spPr>
        <a:noFill/>
        <a:ln>
          <a:noFill/>
        </a:ln>
        <a:effectLst/>
      </c:spPr>
    </c:plotArea>
    <c:legend>
      <c:legendPos val="b"/>
      <c:layout>
        <c:manualLayout>
          <c:xMode val="edge"/>
          <c:yMode val="edge"/>
          <c:x val="6.7324557110134205E-4"/>
          <c:y val="0.84152791275820027"/>
          <c:w val="0.99497012084101566"/>
          <c:h val="0.14921829896419853"/>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 </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PLANTA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11,51 MBTU/MWh</a:t>
            </a:r>
          </a:p>
        </c:rich>
      </c:tx>
      <c:layout>
        <c:manualLayout>
          <c:xMode val="edge"/>
          <c:yMode val="edge"/>
          <c:x val="0.18856791632921271"/>
          <c:y val="2.7845700721228002E-2"/>
        </c:manualLayout>
      </c:layout>
      <c:overlay val="0"/>
      <c:spPr>
        <a:noFill/>
        <a:ln>
          <a:noFill/>
        </a:ln>
        <a:effectLst/>
      </c:spPr>
    </c:title>
    <c:autoTitleDeleted val="0"/>
    <c:plotArea>
      <c:layout>
        <c:manualLayout>
          <c:layoutTarget val="inner"/>
          <c:xMode val="edge"/>
          <c:yMode val="edge"/>
          <c:x val="9.8514004762543503E-2"/>
          <c:y val="0.21993417980130503"/>
          <c:w val="0.87081726993900721"/>
          <c:h val="0.53753101751464616"/>
        </c:manualLayout>
      </c:layout>
      <c:lineChart>
        <c:grouping val="standard"/>
        <c:varyColors val="0"/>
        <c:ser>
          <c:idx val="0"/>
          <c:order val="0"/>
          <c:tx>
            <c:strRef>
              <c:f>MENSUAL!$AF$1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MENSUAL!$AF$33:$AF$34</c:f>
            </c:numRef>
          </c:val>
          <c:smooth val="0"/>
          <c:extLst xmlns:c16r2="http://schemas.microsoft.com/office/drawing/2015/06/chart">
            <c:ext xmlns:c16="http://schemas.microsoft.com/office/drawing/2014/chart" uri="{C3380CC4-5D6E-409C-BE32-E72D297353CC}">
              <c16:uniqueId val="{00000000-C2F4-4A3E-AD59-901999E90E23}"/>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MENSUAL!$AO$6:$AO$9</c:f>
            </c:numRef>
          </c:val>
          <c:smooth val="0"/>
          <c:extLst xmlns:c16r2="http://schemas.microsoft.com/office/drawing/2015/06/chart">
            <c:ext xmlns:c16="http://schemas.microsoft.com/office/drawing/2014/chart" uri="{C3380CC4-5D6E-409C-BE32-E72D297353CC}">
              <c16:uniqueId val="{00000001-C2F4-4A3E-AD59-901999E90E23}"/>
            </c:ext>
          </c:extLst>
        </c:ser>
        <c:dLbls>
          <c:showLegendKey val="0"/>
          <c:showVal val="0"/>
          <c:showCatName val="0"/>
          <c:showSerName val="0"/>
          <c:showPercent val="0"/>
          <c:showBubbleSize val="0"/>
        </c:dLbls>
        <c:marker val="1"/>
        <c:smooth val="0"/>
        <c:axId val="195428008"/>
        <c:axId val="195430360"/>
      </c:lineChart>
      <c:catAx>
        <c:axId val="1954280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5430360"/>
        <c:crosses val="autoZero"/>
        <c:auto val="1"/>
        <c:lblAlgn val="ctr"/>
        <c:lblOffset val="100"/>
        <c:noMultiLvlLbl val="0"/>
      </c:catAx>
      <c:valAx>
        <c:axId val="195430360"/>
        <c:scaling>
          <c:orientation val="minMax"/>
          <c:max val="13"/>
          <c:min val="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5428008"/>
        <c:crosses val="autoZero"/>
        <c:crossBetween val="between"/>
      </c:valAx>
      <c:spPr>
        <a:noFill/>
        <a:ln>
          <a:noFill/>
        </a:ln>
        <a:effectLst/>
      </c:spPr>
    </c:plotArea>
    <c:legend>
      <c:legendPos val="b"/>
      <c:layout>
        <c:manualLayout>
          <c:xMode val="edge"/>
          <c:yMode val="edge"/>
          <c:x val="0"/>
          <c:y val="0.80892883924529146"/>
          <c:w val="1"/>
          <c:h val="0.1818174172776726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EFICIENCIA PLANTA ACUMULADA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29,65%</a:t>
            </a:r>
          </a:p>
        </c:rich>
      </c:tx>
      <c:layout>
        <c:manualLayout>
          <c:xMode val="edge"/>
          <c:yMode val="edge"/>
          <c:x val="0.28749412160598586"/>
          <c:y val="3.8858664351630129E-2"/>
        </c:manualLayout>
      </c:layout>
      <c:overlay val="0"/>
      <c:spPr>
        <a:noFill/>
        <a:ln>
          <a:noFill/>
        </a:ln>
        <a:effectLst/>
      </c:spPr>
    </c:title>
    <c:autoTitleDeleted val="0"/>
    <c:plotArea>
      <c:layout/>
      <c:lineChart>
        <c:grouping val="standard"/>
        <c:varyColors val="0"/>
        <c:ser>
          <c:idx val="0"/>
          <c:order val="0"/>
          <c:tx>
            <c:strRef>
              <c:f>MENSUAL!$AG$1</c:f>
              <c:strCache>
                <c:ptCount val="1"/>
                <c:pt idx="0">
                  <c:v>DESEMPEÑO (%)</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MENSUAL!$A$33:$A$36</c:f>
            </c:multiLvlStrRef>
          </c:cat>
          <c:val>
            <c:numRef>
              <c:f>MENSUAL!$AG$33:$AG$34</c:f>
            </c:numRef>
          </c:val>
          <c:smooth val="0"/>
          <c:extLst xmlns:c16r2="http://schemas.microsoft.com/office/drawing/2015/06/chart">
            <c:ext xmlns:c16="http://schemas.microsoft.com/office/drawing/2014/chart" uri="{C3380CC4-5D6E-409C-BE32-E72D297353CC}">
              <c16:uniqueId val="{00000001-DBD5-42AF-BA43-51CA635406F1}"/>
            </c:ext>
          </c:extLst>
        </c:ser>
        <c:ser>
          <c:idx val="1"/>
          <c:order val="1"/>
          <c:tx>
            <c:strRef>
              <c:f>MENSUAL!$AP$1</c:f>
              <c:strCache>
                <c:ptCount val="1"/>
                <c:pt idx="0">
                  <c:v>META 2022 DESEMPEÑO %)</c:v>
                </c:pt>
              </c:strCache>
            </c:strRef>
          </c:tx>
          <c:marker>
            <c:symbol val="none"/>
          </c:marker>
          <c:cat>
            <c:multiLvlStrRef>
              <c:f>MENSUAL!$A$33:$A$36</c:f>
            </c:multiLvlStrRef>
          </c:cat>
          <c:val>
            <c:numRef>
              <c:f>MENSUAL!$AP$6:$AP$9</c:f>
            </c:numRef>
          </c:val>
          <c:smooth val="0"/>
          <c:extLst xmlns:c16r2="http://schemas.microsoft.com/office/drawing/2015/06/chart">
            <c:ext xmlns:c16="http://schemas.microsoft.com/office/drawing/2014/chart" uri="{C3380CC4-5D6E-409C-BE32-E72D297353CC}">
              <c16:uniqueId val="{00000002-DBD5-42AF-BA43-51CA635406F1}"/>
            </c:ext>
          </c:extLst>
        </c:ser>
        <c:dLbls>
          <c:showLegendKey val="0"/>
          <c:showVal val="0"/>
          <c:showCatName val="0"/>
          <c:showSerName val="0"/>
          <c:showPercent val="0"/>
          <c:showBubbleSize val="0"/>
        </c:dLbls>
        <c:marker val="1"/>
        <c:smooth val="0"/>
        <c:axId val="195430752"/>
        <c:axId val="195425656"/>
      </c:lineChart>
      <c:catAx>
        <c:axId val="1954307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5425656"/>
        <c:crosses val="autoZero"/>
        <c:auto val="1"/>
        <c:lblAlgn val="ctr"/>
        <c:lblOffset val="100"/>
        <c:noMultiLvlLbl val="0"/>
      </c:catAx>
      <c:valAx>
        <c:axId val="195425656"/>
        <c:scaling>
          <c:orientation val="minMax"/>
          <c:max val="32"/>
          <c:min val="26"/>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5430752"/>
        <c:crosses val="autoZero"/>
        <c:crossBetween val="between"/>
      </c:valAx>
      <c:spPr>
        <a:noFill/>
        <a:ln>
          <a:noFill/>
        </a:ln>
        <a:effectLst/>
      </c:spPr>
    </c:plotArea>
    <c:legend>
      <c:legendPos val="b"/>
      <c:layout>
        <c:manualLayout>
          <c:xMode val="edge"/>
          <c:yMode val="edge"/>
          <c:x val="9.4486553378651198E-3"/>
          <c:y val="0.8745669372078998"/>
          <c:w val="0.98619471828788574"/>
          <c:h val="0.1161791627363591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EFICIENCIA PLANTA ACUMULADA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2021 ≥ 29,65%</a:t>
            </a:r>
          </a:p>
        </c:rich>
      </c:tx>
      <c:layout>
        <c:manualLayout>
          <c:xMode val="edge"/>
          <c:yMode val="edge"/>
          <c:x val="0.28749412160598586"/>
          <c:y val="3.8858664351630129E-2"/>
        </c:manualLayout>
      </c:layout>
      <c:overlay val="0"/>
      <c:spPr>
        <a:noFill/>
        <a:ln>
          <a:noFill/>
        </a:ln>
        <a:effectLst/>
      </c:spPr>
    </c:title>
    <c:autoTitleDeleted val="0"/>
    <c:plotArea>
      <c:layout/>
      <c:lineChart>
        <c:grouping val="standard"/>
        <c:varyColors val="0"/>
        <c:ser>
          <c:idx val="0"/>
          <c:order val="0"/>
          <c:tx>
            <c:strRef>
              <c:f>MENSUAL!$AG$1</c:f>
              <c:strCache>
                <c:ptCount val="1"/>
                <c:pt idx="0">
                  <c:v>DESEMPEÑO (%)</c:v>
                </c:pt>
              </c:strCache>
            </c:strRef>
          </c:tx>
          <c:spPr>
            <a:ln w="31750" cap="rnd">
              <a:solidFill>
                <a:schemeClr val="accent1"/>
              </a:solidFill>
              <a:round/>
            </a:ln>
            <a:effectLst/>
          </c:spPr>
          <c:marker>
            <c:symbol val="circle"/>
            <c:size val="5"/>
            <c:spPr>
              <a:solidFill>
                <a:schemeClr val="accent1"/>
              </a:solidFill>
              <a:ln w="25400" cap="rnd">
                <a:solidFill>
                  <a:schemeClr val="accent1"/>
                </a:solidFill>
              </a:ln>
              <a:effectLst/>
            </c:spPr>
          </c:marker>
          <c:dLbls>
            <c:dLbl>
              <c:idx val="1"/>
              <c:layout>
                <c:manualLayout>
                  <c:x val="-5.8235879107731287E-2"/>
                  <c:y val="-4.195527395033452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459-4F38-9FD2-5A1658A9A3EA}"/>
                </c:ext>
                <c:ext xmlns:c15="http://schemas.microsoft.com/office/drawing/2012/chart" uri="{CE6537A1-D6FC-4f65-9D91-7224C49458BB}"/>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MENSUAL!$AG$18:$AG$29</c:f>
              <c:numCache>
                <c:formatCode>0.00</c:formatCode>
                <c:ptCount val="12"/>
                <c:pt idx="0">
                  <c:v>29.769693348423861</c:v>
                </c:pt>
                <c:pt idx="1">
                  <c:v>30.058025666681271</c:v>
                </c:pt>
                <c:pt idx="2">
                  <c:v>29.920691015103053</c:v>
                </c:pt>
                <c:pt idx="3">
                  <c:v>29.920691015103053</c:v>
                </c:pt>
                <c:pt idx="4">
                  <c:v>29.920691015103053</c:v>
                </c:pt>
                <c:pt idx="5">
                  <c:v>30.309178772015581</c:v>
                </c:pt>
                <c:pt idx="6">
                  <c:v>30.309178772015581</c:v>
                </c:pt>
                <c:pt idx="7">
                  <c:v>30.309178772015581</c:v>
                </c:pt>
                <c:pt idx="8">
                  <c:v>30.19473264095658</c:v>
                </c:pt>
              </c:numCache>
            </c:numRef>
          </c:val>
          <c:smooth val="0"/>
          <c:extLst xmlns:c16r2="http://schemas.microsoft.com/office/drawing/2015/06/chart">
            <c:ext xmlns:c16="http://schemas.microsoft.com/office/drawing/2014/chart" uri="{C3380CC4-5D6E-409C-BE32-E72D297353CC}">
              <c16:uniqueId val="{00000001-A459-4F38-9FD2-5A1658A9A3EA}"/>
            </c:ext>
            <c:ext xmlns:c15="http://schemas.microsoft.com/office/drawing/2012/chart" uri="{02D57815-91ED-43cb-92C2-25804820EDAC}">
              <c15:filteredCategoryTitle>
                <c15:cat>
                  <c:multiLvlStrRef>
                    <c:extLst xmlns:c16r2="http://schemas.microsoft.com/office/drawing/2015/06/chart">
                      <c:ext uri="{02D57815-91ED-43cb-92C2-25804820EDAC}">
                        <c15:formulaRef>
                          <c15:sqref>MENSUAL!$AQ$18:$AQ$29</c15:sqref>
                        </c15:formulaRef>
                      </c:ext>
                    </c:extLst>
                  </c:multiLvlStrRef>
                </c15:cat>
              </c15:filteredCategoryTitle>
            </c:ext>
          </c:extLst>
        </c:ser>
        <c:ser>
          <c:idx val="1"/>
          <c:order val="1"/>
          <c:tx>
            <c:strRef>
              <c:f>MENSUAL!$AP$1</c:f>
              <c:strCache>
                <c:ptCount val="1"/>
                <c:pt idx="0">
                  <c:v>META 2022 DESEMPEÑO %)</c:v>
                </c:pt>
              </c:strCache>
            </c:strRef>
          </c:tx>
          <c:marker>
            <c:symbol val="none"/>
          </c:marker>
          <c:val>
            <c:numRef>
              <c:f>MENSUAL!$AP$18:$AP$29</c:f>
            </c:numRef>
          </c:val>
          <c:smooth val="0"/>
          <c:extLst xmlns:c16r2="http://schemas.microsoft.com/office/drawing/2015/06/chart">
            <c:ext xmlns:c16="http://schemas.microsoft.com/office/drawing/2014/chart" uri="{C3380CC4-5D6E-409C-BE32-E72D297353CC}">
              <c16:uniqueId val="{00000002-A459-4F38-9FD2-5A1658A9A3EA}"/>
            </c:ext>
            <c:ext xmlns:c15="http://schemas.microsoft.com/office/drawing/2012/chart" uri="{02D57815-91ED-43cb-92C2-25804820EDAC}">
              <c15:filteredCategoryTitle>
                <c15:cat>
                  <c:multiLvlStrRef>
                    <c:extLst xmlns:c16r2="http://schemas.microsoft.com/office/drawing/2015/06/chart">
                      <c:ext uri="{02D57815-91ED-43cb-92C2-25804820EDAC}">
                        <c15:formulaRef>
                          <c15:sqref>MENSUAL!$AQ$18:$AQ$29</c15:sqref>
                        </c15:formulaRef>
                      </c:ext>
                    </c:extLst>
                  </c:multiLvlStrRef>
                </c15:cat>
              </c15:filteredCategoryTitle>
            </c:ext>
          </c:extLst>
        </c:ser>
        <c:dLbls>
          <c:showLegendKey val="0"/>
          <c:showVal val="0"/>
          <c:showCatName val="0"/>
          <c:showSerName val="0"/>
          <c:showPercent val="0"/>
          <c:showBubbleSize val="0"/>
        </c:dLbls>
        <c:marker val="1"/>
        <c:smooth val="0"/>
        <c:axId val="196486488"/>
        <c:axId val="196487272"/>
      </c:lineChart>
      <c:catAx>
        <c:axId val="19648648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6487272"/>
        <c:crosses val="autoZero"/>
        <c:auto val="1"/>
        <c:lblAlgn val="ctr"/>
        <c:lblOffset val="100"/>
        <c:noMultiLvlLbl val="0"/>
      </c:catAx>
      <c:valAx>
        <c:axId val="196487272"/>
        <c:scaling>
          <c:orientation val="minMax"/>
          <c:max val="31"/>
          <c:min val="28"/>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6486488"/>
        <c:crosses val="autoZero"/>
        <c:crossBetween val="between"/>
      </c:valAx>
      <c:spPr>
        <a:noFill/>
        <a:ln>
          <a:noFill/>
        </a:ln>
        <a:effectLst/>
      </c:spPr>
    </c:plotArea>
    <c:legend>
      <c:legendPos val="b"/>
      <c:layout>
        <c:manualLayout>
          <c:xMode val="edge"/>
          <c:yMode val="edge"/>
          <c:x val="9.4486553378651198E-3"/>
          <c:y val="0.8745669372078998"/>
          <c:w val="0.98619471828788574"/>
          <c:h val="0.1161791627363591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22413</xdr:colOff>
      <xdr:row>76</xdr:row>
      <xdr:rowOff>147276</xdr:rowOff>
    </xdr:from>
    <xdr:to>
      <xdr:col>20</xdr:col>
      <xdr:colOff>29615</xdr:colOff>
      <xdr:row>77</xdr:row>
      <xdr:rowOff>149674</xdr:rowOff>
    </xdr:to>
    <xdr:sp macro="" textlink="">
      <xdr:nvSpPr>
        <xdr:cNvPr id="2" name="Rectángulo 1"/>
        <xdr:cNvSpPr/>
      </xdr:nvSpPr>
      <xdr:spPr>
        <a:xfrm>
          <a:off x="17043588" y="14720526"/>
          <a:ext cx="1007327" cy="164323"/>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20</xdr:col>
      <xdr:colOff>78440</xdr:colOff>
      <xdr:row>47</xdr:row>
      <xdr:rowOff>145675</xdr:rowOff>
    </xdr:from>
    <xdr:to>
      <xdr:col>26</xdr:col>
      <xdr:colOff>420157</xdr:colOff>
      <xdr:row>67</xdr:row>
      <xdr:rowOff>148570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537881</xdr:colOff>
      <xdr:row>48</xdr:row>
      <xdr:rowOff>1</xdr:rowOff>
    </xdr:from>
    <xdr:to>
      <xdr:col>30</xdr:col>
      <xdr:colOff>644275</xdr:colOff>
      <xdr:row>68</xdr:row>
      <xdr:rowOff>2896</xdr:rowOff>
    </xdr:to>
    <xdr:graphicFrame macro="">
      <xdr:nvGraphicFramePr>
        <xdr:cNvPr id="5"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22412</xdr:colOff>
      <xdr:row>48</xdr:row>
      <xdr:rowOff>11208</xdr:rowOff>
    </xdr:from>
    <xdr:to>
      <xdr:col>37</xdr:col>
      <xdr:colOff>4979</xdr:colOff>
      <xdr:row>68</xdr:row>
      <xdr:rowOff>14103</xdr:rowOff>
    </xdr:to>
    <xdr:graphicFrame macro="">
      <xdr:nvGraphicFramePr>
        <xdr:cNvPr id="6"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246530</xdr:colOff>
      <xdr:row>48</xdr:row>
      <xdr:rowOff>1</xdr:rowOff>
    </xdr:from>
    <xdr:to>
      <xdr:col>41</xdr:col>
      <xdr:colOff>784412</xdr:colOff>
      <xdr:row>67</xdr:row>
      <xdr:rowOff>145676</xdr:rowOff>
    </xdr:to>
    <xdr:graphicFrame macro="">
      <xdr:nvGraphicFramePr>
        <xdr:cNvPr id="7"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42</xdr:col>
      <xdr:colOff>0</xdr:colOff>
      <xdr:row>47</xdr:row>
      <xdr:rowOff>145676</xdr:rowOff>
    </xdr:from>
    <xdr:to>
      <xdr:col>48</xdr:col>
      <xdr:colOff>448235</xdr:colOff>
      <xdr:row>67</xdr:row>
      <xdr:rowOff>145676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42</xdr:col>
      <xdr:colOff>0</xdr:colOff>
      <xdr:row>69</xdr:row>
      <xdr:rowOff>1</xdr:rowOff>
    </xdr:from>
    <xdr:to>
      <xdr:col>48</xdr:col>
      <xdr:colOff>694765</xdr:colOff>
      <xdr:row>85</xdr:row>
      <xdr:rowOff>291354</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1390263</xdr:colOff>
      <xdr:row>25</xdr:row>
      <xdr:rowOff>11209</xdr:rowOff>
    </xdr:from>
    <xdr:to>
      <xdr:col>33</xdr:col>
      <xdr:colOff>0</xdr:colOff>
      <xdr:row>26</xdr:row>
      <xdr:rowOff>2</xdr:rowOff>
    </xdr:to>
    <xdr:sp macro="" textlink="">
      <xdr:nvSpPr>
        <xdr:cNvPr id="11" name="Rectángulo 10"/>
        <xdr:cNvSpPr/>
      </xdr:nvSpPr>
      <xdr:spPr>
        <a:xfrm>
          <a:off x="30031938" y="4554634"/>
          <a:ext cx="1752987" cy="150718"/>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anabria/Nueva%20carpeta%20(2)/1.%20ARCHIVOS%20EFICIENCIA%20ENERGETICA/2.%20INFORME%20TRIMESTRAL/6.%20A&#209;O%202022/MEMORIA%20DE%20CALCULO%20INDICADOR%20DE%20EFICIENCI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O ENERGETICO"/>
      <sheetName val="MENSUAL"/>
      <sheetName val="BIMESTRAL"/>
      <sheetName val="TRIMESTRAL"/>
      <sheetName val="SEMESTRAL"/>
      <sheetName val="ACUMULADO 2021"/>
      <sheetName val="GRAFICA INDICADOR 2015-2025"/>
      <sheetName val="MENSUAL COMPRESORES"/>
      <sheetName val="GRAFICA INDICADOR 2015-2023 U2"/>
      <sheetName val="INDICADOR 2015-2025 ajuste meta"/>
      <sheetName val="Resumen"/>
    </sheetNames>
    <sheetDataSet>
      <sheetData sheetId="0">
        <row r="89">
          <cell r="A89">
            <v>44562</v>
          </cell>
          <cell r="B89">
            <v>9141.81</v>
          </cell>
          <cell r="F89">
            <v>16410.060000000001</v>
          </cell>
          <cell r="J89">
            <v>588</v>
          </cell>
          <cell r="K89">
            <v>5947.08</v>
          </cell>
          <cell r="L89">
            <v>13492.8</v>
          </cell>
          <cell r="O89">
            <v>28014.57</v>
          </cell>
          <cell r="S89">
            <v>434</v>
          </cell>
          <cell r="T89">
            <v>11700.84</v>
          </cell>
          <cell r="W89">
            <v>24864.52</v>
          </cell>
          <cell r="AA89">
            <v>383</v>
          </cell>
        </row>
        <row r="90">
          <cell r="A90">
            <v>44593</v>
          </cell>
          <cell r="B90">
            <v>8668.2099999999991</v>
          </cell>
          <cell r="F90">
            <v>15904.95</v>
          </cell>
          <cell r="J90">
            <v>488</v>
          </cell>
          <cell r="K90">
            <v>5835.53</v>
          </cell>
          <cell r="L90">
            <v>14835.91</v>
          </cell>
          <cell r="O90">
            <v>30550.05</v>
          </cell>
          <cell r="S90">
            <v>465</v>
          </cell>
          <cell r="T90">
            <v>16541.27</v>
          </cell>
          <cell r="W90">
            <v>35207.07</v>
          </cell>
          <cell r="AA90">
            <v>544</v>
          </cell>
        </row>
        <row r="91">
          <cell r="A91">
            <v>44621</v>
          </cell>
          <cell r="B91">
            <v>292.02999999999997</v>
          </cell>
          <cell r="F91">
            <v>433.22</v>
          </cell>
          <cell r="J91">
            <v>13</v>
          </cell>
          <cell r="K91">
            <v>5946.58</v>
          </cell>
          <cell r="L91">
            <v>3087.32</v>
          </cell>
          <cell r="O91">
            <v>5813.24</v>
          </cell>
          <cell r="S91">
            <v>109</v>
          </cell>
          <cell r="T91">
            <v>2914.13</v>
          </cell>
          <cell r="W91">
            <v>5980</v>
          </cell>
          <cell r="AA91">
            <v>109</v>
          </cell>
        </row>
        <row r="92">
          <cell r="A92">
            <v>44652</v>
          </cell>
          <cell r="B92">
            <v>0</v>
          </cell>
          <cell r="F92">
            <v>0</v>
          </cell>
          <cell r="J92">
            <v>0</v>
          </cell>
          <cell r="L92">
            <v>0</v>
          </cell>
          <cell r="O92">
            <v>0</v>
          </cell>
          <cell r="S92">
            <v>0</v>
          </cell>
          <cell r="T92">
            <v>0</v>
          </cell>
          <cell r="W92">
            <v>0</v>
          </cell>
          <cell r="AA92">
            <v>0</v>
          </cell>
        </row>
        <row r="93">
          <cell r="A93">
            <v>44682</v>
          </cell>
          <cell r="B93">
            <v>0</v>
          </cell>
          <cell r="F93">
            <v>0</v>
          </cell>
          <cell r="J93">
            <v>0</v>
          </cell>
          <cell r="L93">
            <v>0</v>
          </cell>
          <cell r="O93">
            <v>0</v>
          </cell>
          <cell r="S93">
            <v>0</v>
          </cell>
          <cell r="T93">
            <v>0</v>
          </cell>
          <cell r="W93">
            <v>0</v>
          </cell>
          <cell r="AA93">
            <v>0</v>
          </cell>
        </row>
        <row r="94">
          <cell r="A94">
            <v>44713</v>
          </cell>
          <cell r="B94">
            <v>649.13</v>
          </cell>
          <cell r="F94">
            <v>1622.81</v>
          </cell>
          <cell r="J94">
            <v>53</v>
          </cell>
          <cell r="K94">
            <v>6350.59</v>
          </cell>
          <cell r="L94">
            <v>966.09</v>
          </cell>
          <cell r="O94">
            <v>3073.75</v>
          </cell>
          <cell r="S94">
            <v>52</v>
          </cell>
          <cell r="T94">
            <v>762.68</v>
          </cell>
          <cell r="W94">
            <v>2496.5700000000002</v>
          </cell>
          <cell r="AA94">
            <v>50</v>
          </cell>
        </row>
        <row r="95">
          <cell r="A95">
            <v>44743</v>
          </cell>
          <cell r="B95">
            <v>0</v>
          </cell>
          <cell r="F95">
            <v>0</v>
          </cell>
          <cell r="J95">
            <v>0</v>
          </cell>
          <cell r="L95">
            <v>0</v>
          </cell>
          <cell r="O95">
            <v>0</v>
          </cell>
          <cell r="S95">
            <v>0</v>
          </cell>
          <cell r="T95">
            <v>0</v>
          </cell>
          <cell r="W95">
            <v>0</v>
          </cell>
          <cell r="AA95">
            <v>0</v>
          </cell>
        </row>
        <row r="96">
          <cell r="A96">
            <v>44774</v>
          </cell>
          <cell r="B96">
            <v>0</v>
          </cell>
          <cell r="F96">
            <v>0</v>
          </cell>
          <cell r="J96">
            <v>0</v>
          </cell>
          <cell r="L96">
            <v>0</v>
          </cell>
          <cell r="O96">
            <v>0</v>
          </cell>
          <cell r="S96">
            <v>0</v>
          </cell>
          <cell r="T96">
            <v>0</v>
          </cell>
          <cell r="W96">
            <v>0</v>
          </cell>
          <cell r="AA96">
            <v>0</v>
          </cell>
        </row>
        <row r="97">
          <cell r="A97">
            <v>44805</v>
          </cell>
          <cell r="B97">
            <v>0</v>
          </cell>
          <cell r="F97">
            <v>0</v>
          </cell>
          <cell r="J97">
            <v>0</v>
          </cell>
          <cell r="K97">
            <v>6129.39</v>
          </cell>
          <cell r="L97">
            <v>0</v>
          </cell>
          <cell r="O97">
            <v>0</v>
          </cell>
          <cell r="S97">
            <v>0</v>
          </cell>
          <cell r="T97">
            <v>1282.08</v>
          </cell>
          <cell r="W97">
            <v>2142.66</v>
          </cell>
          <cell r="AA97">
            <v>36</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29"/>
  <sheetViews>
    <sheetView tabSelected="1" topLeftCell="U1" zoomScale="85" zoomScaleNormal="85" workbookViewId="0">
      <pane ySplit="2" topLeftCell="A15" activePane="bottomLeft" state="frozen"/>
      <selection pane="bottomLeft" activeCell="AG1" sqref="AG1"/>
    </sheetView>
  </sheetViews>
  <sheetFormatPr baseColWidth="10" defaultRowHeight="12.75" x14ac:dyDescent="0.2"/>
  <cols>
    <col min="1" max="1" width="19" style="38" customWidth="1"/>
    <col min="2" max="2" width="11.5703125" bestFit="1" customWidth="1"/>
    <col min="3" max="3" width="11.85546875" bestFit="1" customWidth="1"/>
    <col min="4" max="4" width="12.7109375" bestFit="1" customWidth="1"/>
    <col min="5" max="5" width="10.5703125" customWidth="1"/>
    <col min="6" max="6" width="11.85546875" customWidth="1"/>
    <col min="7" max="7" width="13.140625" customWidth="1"/>
    <col min="8" max="8" width="9.7109375" customWidth="1"/>
    <col min="9" max="11" width="13.7109375" style="43" customWidth="1"/>
    <col min="12" max="12" width="11.5703125" bestFit="1" customWidth="1"/>
    <col min="13" max="14" width="13.5703125" customWidth="1"/>
    <col min="15" max="15" width="13.85546875" customWidth="1"/>
    <col min="16" max="16" width="14.5703125" customWidth="1"/>
    <col min="17" max="17" width="15.7109375" customWidth="1"/>
    <col min="18" max="18" width="16.5703125" customWidth="1"/>
    <col min="19" max="19" width="14.28515625" customWidth="1"/>
    <col min="20" max="20" width="15" customWidth="1"/>
    <col min="21" max="21" width="10.5703125" style="140" customWidth="1"/>
    <col min="22" max="22" width="11.140625" style="140" customWidth="1"/>
    <col min="23" max="23" width="11.42578125" style="140" customWidth="1"/>
    <col min="24" max="24" width="9" customWidth="1"/>
    <col min="25" max="25" width="15.140625" bestFit="1" customWidth="1"/>
    <col min="26" max="26" width="13.140625" customWidth="1"/>
    <col min="27" max="27" width="12.7109375" bestFit="1" customWidth="1"/>
    <col min="28" max="28" width="10.7109375" customWidth="1"/>
    <col min="29" max="29" width="24.42578125" customWidth="1"/>
    <col min="30" max="30" width="20.7109375" customWidth="1"/>
    <col min="31" max="31" width="20.28515625" customWidth="1"/>
    <col min="32" max="32" width="21" customWidth="1"/>
    <col min="33" max="33" width="26.140625" bestFit="1" customWidth="1"/>
    <col min="34" max="37" width="4.5703125" hidden="1" customWidth="1"/>
    <col min="38" max="41" width="15.7109375" style="38" hidden="1" customWidth="1"/>
    <col min="42" max="42" width="20.42578125" style="38" hidden="1" customWidth="1"/>
    <col min="43" max="43" width="14.5703125" hidden="1" customWidth="1"/>
    <col min="44" max="64" width="0" hidden="1" customWidth="1"/>
  </cols>
  <sheetData>
    <row r="1" spans="1:46" s="5" customFormat="1" ht="51" x14ac:dyDescent="0.2">
      <c r="A1" s="192" t="s">
        <v>0</v>
      </c>
      <c r="B1" s="194" t="s">
        <v>1</v>
      </c>
      <c r="C1" s="195"/>
      <c r="D1" s="196"/>
      <c r="E1" s="197" t="s">
        <v>2</v>
      </c>
      <c r="F1" s="198"/>
      <c r="G1" s="199"/>
      <c r="H1" s="200" t="s">
        <v>3</v>
      </c>
      <c r="I1" s="202" t="s">
        <v>4</v>
      </c>
      <c r="J1" s="203"/>
      <c r="K1" s="203"/>
      <c r="L1" s="204" t="s">
        <v>5</v>
      </c>
      <c r="M1" s="205"/>
      <c r="N1" s="205"/>
      <c r="O1" s="206" t="s">
        <v>6</v>
      </c>
      <c r="P1" s="206"/>
      <c r="Q1" s="206"/>
      <c r="R1" s="207" t="s">
        <v>7</v>
      </c>
      <c r="S1" s="208"/>
      <c r="T1" s="208"/>
      <c r="U1" s="209" t="s">
        <v>8</v>
      </c>
      <c r="V1" s="210"/>
      <c r="W1" s="210"/>
      <c r="X1" s="211"/>
      <c r="Y1" s="204" t="s">
        <v>9</v>
      </c>
      <c r="Z1" s="205"/>
      <c r="AA1" s="205"/>
      <c r="AB1" s="1"/>
      <c r="AC1" s="2" t="s">
        <v>10</v>
      </c>
      <c r="AD1" s="3" t="s">
        <v>11</v>
      </c>
      <c r="AE1" s="1"/>
      <c r="AF1" s="4" t="s">
        <v>12</v>
      </c>
      <c r="AG1" s="4" t="s">
        <v>13</v>
      </c>
      <c r="AI1" s="6"/>
      <c r="AL1" s="182" t="s">
        <v>14</v>
      </c>
      <c r="AM1" s="182"/>
      <c r="AN1" s="182"/>
      <c r="AO1" s="182"/>
      <c r="AP1" s="7" t="s">
        <v>15</v>
      </c>
    </row>
    <row r="2" spans="1:46" s="5" customFormat="1" ht="25.5" x14ac:dyDescent="0.2">
      <c r="A2" s="193"/>
      <c r="B2" s="8" t="s">
        <v>16</v>
      </c>
      <c r="C2" s="8" t="s">
        <v>17</v>
      </c>
      <c r="D2" s="8" t="s">
        <v>18</v>
      </c>
      <c r="E2" s="9" t="s">
        <v>16</v>
      </c>
      <c r="F2" s="9" t="s">
        <v>17</v>
      </c>
      <c r="G2" s="9" t="s">
        <v>18</v>
      </c>
      <c r="H2" s="201"/>
      <c r="I2" s="10" t="s">
        <v>16</v>
      </c>
      <c r="J2" s="10" t="s">
        <v>17</v>
      </c>
      <c r="K2" s="10" t="s">
        <v>18</v>
      </c>
      <c r="L2" s="11" t="s">
        <v>16</v>
      </c>
      <c r="M2" s="11" t="s">
        <v>17</v>
      </c>
      <c r="N2" s="11" t="s">
        <v>18</v>
      </c>
      <c r="O2" s="12" t="s">
        <v>16</v>
      </c>
      <c r="P2" s="12" t="s">
        <v>17</v>
      </c>
      <c r="Q2" s="12" t="s">
        <v>18</v>
      </c>
      <c r="R2" s="13" t="s">
        <v>16</v>
      </c>
      <c r="S2" s="13" t="s">
        <v>17</v>
      </c>
      <c r="T2" s="13" t="s">
        <v>18</v>
      </c>
      <c r="U2" s="14" t="s">
        <v>16</v>
      </c>
      <c r="V2" s="14" t="s">
        <v>17</v>
      </c>
      <c r="W2" s="14" t="s">
        <v>18</v>
      </c>
      <c r="X2" s="15" t="s">
        <v>19</v>
      </c>
      <c r="Y2" s="11" t="s">
        <v>16</v>
      </c>
      <c r="Z2" s="11" t="s">
        <v>17</v>
      </c>
      <c r="AA2" s="11" t="s">
        <v>18</v>
      </c>
      <c r="AB2" s="12"/>
      <c r="AC2" s="16" t="s">
        <v>20</v>
      </c>
      <c r="AD2" s="16" t="s">
        <v>20</v>
      </c>
      <c r="AE2" s="12"/>
      <c r="AF2" s="17" t="s">
        <v>20</v>
      </c>
      <c r="AG2" s="17" t="s">
        <v>20</v>
      </c>
      <c r="AL2" s="18" t="s">
        <v>16</v>
      </c>
      <c r="AM2" s="18" t="s">
        <v>17</v>
      </c>
      <c r="AN2" s="18" t="s">
        <v>18</v>
      </c>
      <c r="AO2" s="18" t="s">
        <v>20</v>
      </c>
      <c r="AP2" s="19" t="s">
        <v>20</v>
      </c>
    </row>
    <row r="3" spans="1:46" x14ac:dyDescent="0.2">
      <c r="A3" s="20">
        <f>'[1]CONSUMO ENERGETICO'!A89</f>
        <v>44562</v>
      </c>
      <c r="B3" s="21">
        <f>'[1]CONSUMO ENERGETICO'!F89</f>
        <v>16410.060000000001</v>
      </c>
      <c r="C3" s="21">
        <f>'[1]CONSUMO ENERGETICO'!O89</f>
        <v>28014.57</v>
      </c>
      <c r="D3" s="21">
        <f>'[1]CONSUMO ENERGETICO'!W89</f>
        <v>24864.52</v>
      </c>
      <c r="E3" s="22">
        <f>'[1]CONSUMO ENERGETICO'!B89</f>
        <v>9141.81</v>
      </c>
      <c r="F3" s="22">
        <f>'[1]CONSUMO ENERGETICO'!L89</f>
        <v>13492.8</v>
      </c>
      <c r="G3" s="22">
        <f>'[1]CONSUMO ENERGETICO'!T89</f>
        <v>11700.84</v>
      </c>
      <c r="H3" s="23">
        <f>'[1]CONSUMO ENERGETICO'!K89</f>
        <v>5947.08</v>
      </c>
      <c r="I3" s="24">
        <f t="shared" ref="I3:I11" si="0">+E3*H3*3.97/1000</f>
        <v>215837.28939675598</v>
      </c>
      <c r="J3" s="24">
        <f t="shared" ref="J3:J11" si="1">+F3*H3*3.97/1000</f>
        <v>318563.76126527996</v>
      </c>
      <c r="K3" s="24">
        <f t="shared" ref="K3:K11" si="2">+G3*H3*3.97/1000</f>
        <v>276255.75124238402</v>
      </c>
      <c r="L3" s="25">
        <f t="shared" ref="L3:N8" si="3">+I3/B3</f>
        <v>13.152742244498555</v>
      </c>
      <c r="M3" s="25">
        <f t="shared" si="3"/>
        <v>11.371360019635496</v>
      </c>
      <c r="N3" s="25">
        <f t="shared" si="3"/>
        <v>11.110439744760164</v>
      </c>
      <c r="O3" s="26">
        <f>+'[1]CONSUMO ENERGETICO'!J89</f>
        <v>588</v>
      </c>
      <c r="P3" s="26">
        <f>+'[1]CONSUMO ENERGETICO'!S89</f>
        <v>434</v>
      </c>
      <c r="Q3" s="26">
        <f>+'[1]CONSUMO ENERGETICO'!AA89</f>
        <v>383</v>
      </c>
      <c r="R3" s="27">
        <f t="shared" ref="R3:T8" si="4">+B3/O3</f>
        <v>27.908265306122452</v>
      </c>
      <c r="S3" s="27">
        <f t="shared" si="4"/>
        <v>64.549700460829499</v>
      </c>
      <c r="T3" s="27">
        <f t="shared" si="4"/>
        <v>64.920417754569186</v>
      </c>
      <c r="U3" s="28">
        <v>36</v>
      </c>
      <c r="V3" s="29">
        <v>72</v>
      </c>
      <c r="W3" s="29">
        <v>70</v>
      </c>
      <c r="X3" s="28">
        <f t="shared" ref="X3:X11" si="5">+U3+V3+W3</f>
        <v>178</v>
      </c>
      <c r="Y3" s="25">
        <f t="shared" ref="Y3:Y8" si="6">L3-(U3-R3)*0.0361</f>
        <v>12.860630622049575</v>
      </c>
      <c r="Z3" s="25">
        <f t="shared" ref="Z3:Z8" si="7">M3-(V3-S3)*0.0227</f>
        <v>11.202238220096326</v>
      </c>
      <c r="AA3" s="25">
        <f t="shared" ref="AA3:AA8" si="8">N3-(W3-T3)*0.0199</f>
        <v>11.00935605807609</v>
      </c>
      <c r="AB3" s="29"/>
      <c r="AC3" s="31">
        <f t="shared" ref="AC3:AC8" si="9">L3*(U3/X3)+M3*(V3/X3)+N3*(W3/X3)</f>
        <v>11.629030473870309</v>
      </c>
      <c r="AD3" s="31">
        <f t="shared" ref="AD3:AD8" si="10">3.41214/AC3*100</f>
        <v>29.341568995513956</v>
      </c>
      <c r="AE3" s="29"/>
      <c r="AF3" s="32">
        <f t="shared" ref="AF3:AF8" si="11">+Y3*(U3/X3)+Z3*(V3/X3)+AA3*(W3/X3)</f>
        <v>11.461790889359813</v>
      </c>
      <c r="AG3" s="32">
        <f t="shared" ref="AG3:AG8" si="12">3.41214/AF3*100</f>
        <v>29.769693348423861</v>
      </c>
      <c r="AI3" s="33"/>
      <c r="AL3" s="32">
        <v>12.23</v>
      </c>
      <c r="AM3" s="32">
        <v>11.24</v>
      </c>
      <c r="AN3" s="32">
        <v>11.42</v>
      </c>
      <c r="AO3" s="32">
        <v>11.51</v>
      </c>
      <c r="AP3" s="34">
        <v>29.65</v>
      </c>
      <c r="AR3" s="5">
        <f>E3/B3</f>
        <v>0.55708571449464528</v>
      </c>
      <c r="AS3" s="5">
        <f t="shared" ref="AS3:AT9" si="13">F3/C3</f>
        <v>0.48163509202532823</v>
      </c>
      <c r="AT3" s="5">
        <f t="shared" si="13"/>
        <v>0.47058378766209846</v>
      </c>
    </row>
    <row r="4" spans="1:46" x14ac:dyDescent="0.2">
      <c r="A4" s="20">
        <f>'[1]CONSUMO ENERGETICO'!A90</f>
        <v>44593</v>
      </c>
      <c r="B4" s="21">
        <f>'[1]CONSUMO ENERGETICO'!F90</f>
        <v>15904.95</v>
      </c>
      <c r="C4" s="21">
        <f>'[1]CONSUMO ENERGETICO'!O90</f>
        <v>30550.05</v>
      </c>
      <c r="D4" s="21">
        <f>'[1]CONSUMO ENERGETICO'!W90</f>
        <v>35207.07</v>
      </c>
      <c r="E4" s="22">
        <f>'[1]CONSUMO ENERGETICO'!B90</f>
        <v>8668.2099999999991</v>
      </c>
      <c r="F4" s="22">
        <f>'[1]CONSUMO ENERGETICO'!L90</f>
        <v>14835.91</v>
      </c>
      <c r="G4" s="22">
        <f>'[1]CONSUMO ENERGETICO'!T90</f>
        <v>16541.27</v>
      </c>
      <c r="H4" s="23">
        <f>'[1]CONSUMO ENERGETICO'!K90</f>
        <v>5835.53</v>
      </c>
      <c r="I4" s="24">
        <f t="shared" si="0"/>
        <v>200816.89002016096</v>
      </c>
      <c r="J4" s="24">
        <f t="shared" si="1"/>
        <v>343704.32959273102</v>
      </c>
      <c r="K4" s="24">
        <f t="shared" si="2"/>
        <v>383212.49697270704</v>
      </c>
      <c r="L4" s="25">
        <f t="shared" si="3"/>
        <v>12.626062327776005</v>
      </c>
      <c r="M4" s="25">
        <f t="shared" si="3"/>
        <v>11.250532473522336</v>
      </c>
      <c r="N4" s="25">
        <f t="shared" si="3"/>
        <v>10.884532480910995</v>
      </c>
      <c r="O4" s="26">
        <f>+'[1]CONSUMO ENERGETICO'!J90</f>
        <v>488</v>
      </c>
      <c r="P4" s="26">
        <f>+'[1]CONSUMO ENERGETICO'!S90</f>
        <v>465</v>
      </c>
      <c r="Q4" s="26">
        <f>+'[1]CONSUMO ENERGETICO'!AA90</f>
        <v>544</v>
      </c>
      <c r="R4" s="27">
        <f t="shared" si="4"/>
        <v>32.592110655737706</v>
      </c>
      <c r="S4" s="27">
        <f t="shared" si="4"/>
        <v>65.69903225806452</v>
      </c>
      <c r="T4" s="27">
        <f t="shared" si="4"/>
        <v>64.718878676470581</v>
      </c>
      <c r="U4" s="28">
        <v>36</v>
      </c>
      <c r="V4" s="29">
        <v>72</v>
      </c>
      <c r="W4" s="29">
        <v>70</v>
      </c>
      <c r="X4" s="28">
        <f t="shared" si="5"/>
        <v>178</v>
      </c>
      <c r="Y4" s="25">
        <f t="shared" si="6"/>
        <v>12.503037522448135</v>
      </c>
      <c r="Z4" s="25">
        <f t="shared" si="7"/>
        <v>11.107500505780401</v>
      </c>
      <c r="AA4" s="25">
        <f t="shared" si="8"/>
        <v>10.77943816657276</v>
      </c>
      <c r="AB4" s="29"/>
      <c r="AC4" s="31">
        <f t="shared" si="9"/>
        <v>11.384796941333224</v>
      </c>
      <c r="AD4" s="31">
        <f t="shared" si="10"/>
        <v>29.971022035641319</v>
      </c>
      <c r="AE4" s="29"/>
      <c r="AF4" s="32">
        <f t="shared" si="11"/>
        <v>11.260730667889971</v>
      </c>
      <c r="AG4" s="32">
        <f t="shared" si="12"/>
        <v>30.301230893744169</v>
      </c>
      <c r="AI4" s="33"/>
      <c r="AL4" s="35">
        <f>3.41214/AL3</f>
        <v>0.27899754701553553</v>
      </c>
      <c r="AM4" s="35">
        <f>3.41214/AM3</f>
        <v>0.3035711743772242</v>
      </c>
      <c r="AN4" s="35">
        <f t="shared" ref="AN4" si="14">3.41214/AN3</f>
        <v>0.29878633975481611</v>
      </c>
      <c r="AO4" s="35">
        <f>3.41214/AO3</f>
        <v>0.29645004344048653</v>
      </c>
      <c r="AP4" s="36"/>
      <c r="AR4" s="5">
        <f>E4/B4</f>
        <v>0.54500077020047211</v>
      </c>
      <c r="AS4" s="5">
        <f t="shared" si="13"/>
        <v>0.48562637377025569</v>
      </c>
      <c r="AT4" s="5">
        <f t="shared" si="13"/>
        <v>0.46982807714473257</v>
      </c>
    </row>
    <row r="5" spans="1:46" x14ac:dyDescent="0.2">
      <c r="A5" s="20">
        <f>'[1]CONSUMO ENERGETICO'!A91</f>
        <v>44621</v>
      </c>
      <c r="B5" s="21">
        <f>'[1]CONSUMO ENERGETICO'!F91</f>
        <v>433.22</v>
      </c>
      <c r="C5" s="21">
        <f>'[1]CONSUMO ENERGETICO'!O91</f>
        <v>5813.24</v>
      </c>
      <c r="D5" s="21">
        <f>'[1]CONSUMO ENERGETICO'!W91</f>
        <v>5980</v>
      </c>
      <c r="E5" s="22">
        <f>'[1]CONSUMO ENERGETICO'!B91</f>
        <v>292.02999999999997</v>
      </c>
      <c r="F5" s="22">
        <f>'[1]CONSUMO ENERGETICO'!L91</f>
        <v>3087.32</v>
      </c>
      <c r="G5" s="22">
        <f>'[1]CONSUMO ENERGETICO'!T91</f>
        <v>2914.13</v>
      </c>
      <c r="H5" s="23">
        <f>'[1]CONSUMO ENERGETICO'!K91</f>
        <v>5946.58</v>
      </c>
      <c r="I5" s="24">
        <f t="shared" si="0"/>
        <v>6894.221636878</v>
      </c>
      <c r="J5" s="24">
        <f t="shared" si="1"/>
        <v>72885.211601432005</v>
      </c>
      <c r="K5" s="24">
        <f t="shared" si="2"/>
        <v>68796.555486338009</v>
      </c>
      <c r="L5" s="25">
        <f t="shared" si="3"/>
        <v>15.913904337006601</v>
      </c>
      <c r="M5" s="25">
        <f t="shared" si="3"/>
        <v>12.537795033652836</v>
      </c>
      <c r="N5" s="25">
        <f t="shared" si="3"/>
        <v>11.504440716778932</v>
      </c>
      <c r="O5" s="26">
        <f>+'[1]CONSUMO ENERGETICO'!J91</f>
        <v>13</v>
      </c>
      <c r="P5" s="26">
        <f>+'[1]CONSUMO ENERGETICO'!S91</f>
        <v>109</v>
      </c>
      <c r="Q5" s="26">
        <f>+'[1]CONSUMO ENERGETICO'!AA91</f>
        <v>109</v>
      </c>
      <c r="R5" s="27">
        <f t="shared" si="4"/>
        <v>33.324615384615385</v>
      </c>
      <c r="S5" s="27">
        <f t="shared" si="4"/>
        <v>53.332477064220178</v>
      </c>
      <c r="T5" s="27">
        <f t="shared" si="4"/>
        <v>54.862385321100916</v>
      </c>
      <c r="U5" s="28">
        <v>36</v>
      </c>
      <c r="V5" s="29">
        <v>72</v>
      </c>
      <c r="W5" s="29">
        <v>70</v>
      </c>
      <c r="X5" s="28">
        <f t="shared" si="5"/>
        <v>178</v>
      </c>
      <c r="Y5" s="25">
        <f t="shared" si="6"/>
        <v>15.817322952391216</v>
      </c>
      <c r="Z5" s="25">
        <f t="shared" si="7"/>
        <v>12.114042263010635</v>
      </c>
      <c r="AA5" s="25">
        <f t="shared" si="8"/>
        <v>11.203202184668839</v>
      </c>
      <c r="AB5" s="29"/>
      <c r="AC5" s="31">
        <f t="shared" si="9"/>
        <v>12.814228363650376</v>
      </c>
      <c r="AD5" s="31">
        <f t="shared" si="10"/>
        <v>26.627744591153728</v>
      </c>
      <c r="AE5" s="29"/>
      <c r="AF5" s="32">
        <f t="shared" si="11"/>
        <v>12.504824843537461</v>
      </c>
      <c r="AG5" s="32">
        <f t="shared" si="12"/>
        <v>27.286587718686889</v>
      </c>
      <c r="AI5" s="33"/>
      <c r="AL5" s="37"/>
      <c r="AR5" s="5">
        <f t="shared" ref="AR5:AR6" si="15">E5/B5</f>
        <v>0.67409168551775067</v>
      </c>
      <c r="AS5" s="5">
        <f t="shared" si="13"/>
        <v>0.53108421465482247</v>
      </c>
      <c r="AT5" s="5">
        <f t="shared" si="13"/>
        <v>0.48731270903010038</v>
      </c>
    </row>
    <row r="6" spans="1:46" x14ac:dyDescent="0.2">
      <c r="A6" s="20">
        <f>'[1]CONSUMO ENERGETICO'!A92</f>
        <v>44652</v>
      </c>
      <c r="B6" s="21">
        <f>'[1]CONSUMO ENERGETICO'!F92</f>
        <v>0</v>
      </c>
      <c r="C6" s="21">
        <f>'[1]CONSUMO ENERGETICO'!O92</f>
        <v>0</v>
      </c>
      <c r="D6" s="21">
        <f>'[1]CONSUMO ENERGETICO'!W92</f>
        <v>0</v>
      </c>
      <c r="E6" s="22">
        <f>'[1]CONSUMO ENERGETICO'!B92</f>
        <v>0</v>
      </c>
      <c r="F6" s="22">
        <f>'[1]CONSUMO ENERGETICO'!L92</f>
        <v>0</v>
      </c>
      <c r="G6" s="22">
        <f>'[1]CONSUMO ENERGETICO'!T92</f>
        <v>0</v>
      </c>
      <c r="H6" s="23">
        <f>'[1]CONSUMO ENERGETICO'!K92</f>
        <v>0</v>
      </c>
      <c r="I6" s="24">
        <f t="shared" si="0"/>
        <v>0</v>
      </c>
      <c r="J6" s="24">
        <f t="shared" si="1"/>
        <v>0</v>
      </c>
      <c r="K6" s="24">
        <f t="shared" si="2"/>
        <v>0</v>
      </c>
      <c r="L6" s="25" t="s">
        <v>95</v>
      </c>
      <c r="M6" s="25" t="s">
        <v>95</v>
      </c>
      <c r="N6" s="25" t="s">
        <v>95</v>
      </c>
      <c r="O6" s="26">
        <f>+'[1]CONSUMO ENERGETICO'!J92</f>
        <v>0</v>
      </c>
      <c r="P6" s="26">
        <f>+'[1]CONSUMO ENERGETICO'!S92</f>
        <v>0</v>
      </c>
      <c r="Q6" s="26">
        <f>+'[1]CONSUMO ENERGETICO'!AA92</f>
        <v>0</v>
      </c>
      <c r="R6" s="27">
        <v>0</v>
      </c>
      <c r="S6" s="27">
        <v>0</v>
      </c>
      <c r="T6" s="27">
        <v>0</v>
      </c>
      <c r="U6" s="28">
        <v>36</v>
      </c>
      <c r="V6" s="29">
        <v>72</v>
      </c>
      <c r="W6" s="29">
        <v>70</v>
      </c>
      <c r="X6" s="28">
        <f t="shared" si="5"/>
        <v>178</v>
      </c>
      <c r="Y6" s="25" t="s">
        <v>95</v>
      </c>
      <c r="Z6" s="25" t="s">
        <v>95</v>
      </c>
      <c r="AA6" s="25" t="s">
        <v>95</v>
      </c>
      <c r="AB6" s="29"/>
      <c r="AC6" s="31" t="s">
        <v>95</v>
      </c>
      <c r="AD6" s="31" t="s">
        <v>95</v>
      </c>
      <c r="AE6" s="29"/>
      <c r="AF6" s="32" t="s">
        <v>95</v>
      </c>
      <c r="AG6" s="32" t="s">
        <v>95</v>
      </c>
      <c r="AI6" s="33"/>
      <c r="AL6" s="39">
        <v>12.23</v>
      </c>
      <c r="AM6" s="39">
        <v>11.24</v>
      </c>
      <c r="AN6" s="39">
        <v>11.42</v>
      </c>
      <c r="AO6" s="39">
        <v>11.51</v>
      </c>
      <c r="AP6" s="34">
        <v>29.65</v>
      </c>
      <c r="AR6" s="5" t="e">
        <f t="shared" si="15"/>
        <v>#DIV/0!</v>
      </c>
      <c r="AS6" s="5" t="e">
        <f t="shared" si="13"/>
        <v>#DIV/0!</v>
      </c>
      <c r="AT6" s="5" t="e">
        <f t="shared" si="13"/>
        <v>#DIV/0!</v>
      </c>
    </row>
    <row r="7" spans="1:46" x14ac:dyDescent="0.2">
      <c r="A7" s="20">
        <f>'[1]CONSUMO ENERGETICO'!A93</f>
        <v>44682</v>
      </c>
      <c r="B7" s="21">
        <f>'[1]CONSUMO ENERGETICO'!F93</f>
        <v>0</v>
      </c>
      <c r="C7" s="21">
        <f>'[1]CONSUMO ENERGETICO'!O93</f>
        <v>0</v>
      </c>
      <c r="D7" s="21">
        <f>'[1]CONSUMO ENERGETICO'!W93</f>
        <v>0</v>
      </c>
      <c r="E7" s="22">
        <f>'[1]CONSUMO ENERGETICO'!B93</f>
        <v>0</v>
      </c>
      <c r="F7" s="22">
        <f>'[1]CONSUMO ENERGETICO'!L93</f>
        <v>0</v>
      </c>
      <c r="G7" s="22">
        <f>'[1]CONSUMO ENERGETICO'!T93</f>
        <v>0</v>
      </c>
      <c r="H7" s="23">
        <f>'[1]CONSUMO ENERGETICO'!K93</f>
        <v>0</v>
      </c>
      <c r="I7" s="24">
        <f t="shared" si="0"/>
        <v>0</v>
      </c>
      <c r="J7" s="24">
        <f t="shared" si="1"/>
        <v>0</v>
      </c>
      <c r="K7" s="24">
        <f t="shared" si="2"/>
        <v>0</v>
      </c>
      <c r="L7" s="25" t="s">
        <v>95</v>
      </c>
      <c r="M7" s="25" t="s">
        <v>95</v>
      </c>
      <c r="N7" s="25" t="s">
        <v>95</v>
      </c>
      <c r="O7" s="26">
        <f>+'[1]CONSUMO ENERGETICO'!J93</f>
        <v>0</v>
      </c>
      <c r="P7" s="26">
        <f>+'[1]CONSUMO ENERGETICO'!S93</f>
        <v>0</v>
      </c>
      <c r="Q7" s="26">
        <f>+'[1]CONSUMO ENERGETICO'!AA93</f>
        <v>0</v>
      </c>
      <c r="R7" s="27">
        <v>0</v>
      </c>
      <c r="S7" s="27">
        <v>0</v>
      </c>
      <c r="T7" s="27">
        <v>0</v>
      </c>
      <c r="U7" s="28">
        <v>36</v>
      </c>
      <c r="V7" s="29">
        <v>72</v>
      </c>
      <c r="W7" s="29">
        <v>70</v>
      </c>
      <c r="X7" s="28">
        <f t="shared" si="5"/>
        <v>178</v>
      </c>
      <c r="Y7" s="25" t="s">
        <v>95</v>
      </c>
      <c r="Z7" s="25" t="s">
        <v>95</v>
      </c>
      <c r="AA7" s="25" t="s">
        <v>95</v>
      </c>
      <c r="AB7" s="29"/>
      <c r="AC7" s="31" t="s">
        <v>95</v>
      </c>
      <c r="AD7" s="31" t="s">
        <v>95</v>
      </c>
      <c r="AE7" s="29"/>
      <c r="AF7" s="32" t="s">
        <v>95</v>
      </c>
      <c r="AG7" s="32" t="s">
        <v>95</v>
      </c>
      <c r="AI7" s="33"/>
      <c r="AL7" s="39">
        <v>12.23</v>
      </c>
      <c r="AM7" s="39">
        <v>11.24</v>
      </c>
      <c r="AN7" s="39">
        <v>11.42</v>
      </c>
      <c r="AO7" s="39">
        <v>11.51</v>
      </c>
      <c r="AP7" s="34">
        <v>29.65</v>
      </c>
      <c r="AQ7" s="40"/>
      <c r="AR7" s="5" t="e">
        <f>E7/B7</f>
        <v>#DIV/0!</v>
      </c>
      <c r="AS7" s="5" t="e">
        <f t="shared" si="13"/>
        <v>#DIV/0!</v>
      </c>
      <c r="AT7" s="5" t="e">
        <f t="shared" si="13"/>
        <v>#DIV/0!</v>
      </c>
    </row>
    <row r="8" spans="1:46" x14ac:dyDescent="0.2">
      <c r="A8" s="20">
        <f>'[1]CONSUMO ENERGETICO'!A94</f>
        <v>44713</v>
      </c>
      <c r="B8" s="21">
        <f>'[1]CONSUMO ENERGETICO'!F94</f>
        <v>1622.81</v>
      </c>
      <c r="C8" s="21">
        <f>'[1]CONSUMO ENERGETICO'!O94</f>
        <v>3073.75</v>
      </c>
      <c r="D8" s="21">
        <f>'[1]CONSUMO ENERGETICO'!W94</f>
        <v>2496.5700000000002</v>
      </c>
      <c r="E8" s="22">
        <f>'[1]CONSUMO ENERGETICO'!B94</f>
        <v>649.13</v>
      </c>
      <c r="F8" s="22">
        <f>'[1]CONSUMO ENERGETICO'!L94</f>
        <v>966.09</v>
      </c>
      <c r="G8" s="22">
        <f>'[1]CONSUMO ENERGETICO'!T94</f>
        <v>762.68</v>
      </c>
      <c r="H8" s="23">
        <f>'[1]CONSUMO ENERGETICO'!K94</f>
        <v>6350.59</v>
      </c>
      <c r="I8" s="24">
        <f t="shared" si="0"/>
        <v>16365.763192199001</v>
      </c>
      <c r="J8" s="24">
        <f t="shared" si="1"/>
        <v>24356.908727607006</v>
      </c>
      <c r="K8" s="24">
        <f t="shared" si="2"/>
        <v>19228.567885363998</v>
      </c>
      <c r="L8" s="25">
        <f t="shared" si="3"/>
        <v>10.084830135505081</v>
      </c>
      <c r="M8" s="25">
        <f t="shared" si="3"/>
        <v>7.9241671338290383</v>
      </c>
      <c r="N8" s="25">
        <f t="shared" si="3"/>
        <v>7.701994290311907</v>
      </c>
      <c r="O8" s="26">
        <f>+'[1]CONSUMO ENERGETICO'!J94</f>
        <v>53</v>
      </c>
      <c r="P8" s="26">
        <f>+'[1]CONSUMO ENERGETICO'!S94</f>
        <v>52</v>
      </c>
      <c r="Q8" s="26">
        <f>+'[1]CONSUMO ENERGETICO'!AA94</f>
        <v>50</v>
      </c>
      <c r="R8" s="27">
        <f t="shared" si="4"/>
        <v>30.619056603773583</v>
      </c>
      <c r="S8" s="27">
        <f t="shared" si="4"/>
        <v>59.11057692307692</v>
      </c>
      <c r="T8" s="27">
        <f t="shared" si="4"/>
        <v>49.931400000000004</v>
      </c>
      <c r="U8" s="28">
        <v>36</v>
      </c>
      <c r="V8" s="29">
        <v>72</v>
      </c>
      <c r="W8" s="29">
        <v>70</v>
      </c>
      <c r="X8" s="28">
        <f t="shared" si="5"/>
        <v>178</v>
      </c>
      <c r="Y8" s="25">
        <f t="shared" si="6"/>
        <v>9.8905780789013082</v>
      </c>
      <c r="Z8" s="25">
        <f t="shared" si="7"/>
        <v>7.6315772299828843</v>
      </c>
      <c r="AA8" s="25">
        <f t="shared" si="8"/>
        <v>7.3026291503119074</v>
      </c>
      <c r="AB8" s="29"/>
      <c r="AC8" s="31">
        <f t="shared" si="9"/>
        <v>8.2737838136837478</v>
      </c>
      <c r="AD8" s="31">
        <f t="shared" si="10"/>
        <v>41.240381388220101</v>
      </c>
      <c r="AE8" s="29"/>
      <c r="AF8" s="32">
        <f t="shared" si="11"/>
        <v>7.9590922018036423</v>
      </c>
      <c r="AG8" s="32">
        <f t="shared" si="12"/>
        <v>42.870969621720945</v>
      </c>
      <c r="AI8" s="33"/>
      <c r="AL8" s="39">
        <v>12.23</v>
      </c>
      <c r="AM8" s="39">
        <v>11.24</v>
      </c>
      <c r="AN8" s="39">
        <v>11.42</v>
      </c>
      <c r="AO8" s="39">
        <v>11.51</v>
      </c>
      <c r="AP8" s="34">
        <v>29.65</v>
      </c>
      <c r="AR8" s="5"/>
      <c r="AS8" s="5"/>
      <c r="AT8" s="5"/>
    </row>
    <row r="9" spans="1:46" x14ac:dyDescent="0.2">
      <c r="A9" s="20">
        <f>'[1]CONSUMO ENERGETICO'!A95</f>
        <v>44743</v>
      </c>
      <c r="B9" s="21">
        <f>'[1]CONSUMO ENERGETICO'!F95</f>
        <v>0</v>
      </c>
      <c r="C9" s="21">
        <f>'[1]CONSUMO ENERGETICO'!O95</f>
        <v>0</v>
      </c>
      <c r="D9" s="21">
        <f>'[1]CONSUMO ENERGETICO'!W95</f>
        <v>0</v>
      </c>
      <c r="E9" s="22">
        <f>'[1]CONSUMO ENERGETICO'!B95</f>
        <v>0</v>
      </c>
      <c r="F9" s="22">
        <f>'[1]CONSUMO ENERGETICO'!L95</f>
        <v>0</v>
      </c>
      <c r="G9" s="22">
        <f>'[1]CONSUMO ENERGETICO'!T95</f>
        <v>0</v>
      </c>
      <c r="H9" s="23">
        <f>'[1]CONSUMO ENERGETICO'!K95</f>
        <v>0</v>
      </c>
      <c r="I9" s="24">
        <f t="shared" si="0"/>
        <v>0</v>
      </c>
      <c r="J9" s="24">
        <f t="shared" si="1"/>
        <v>0</v>
      </c>
      <c r="K9" s="24">
        <f t="shared" si="2"/>
        <v>0</v>
      </c>
      <c r="L9" s="25" t="s">
        <v>95</v>
      </c>
      <c r="M9" s="25" t="s">
        <v>95</v>
      </c>
      <c r="N9" s="25" t="s">
        <v>95</v>
      </c>
      <c r="O9" s="26">
        <f>+'[1]CONSUMO ENERGETICO'!J95</f>
        <v>0</v>
      </c>
      <c r="P9" s="26">
        <f>+'[1]CONSUMO ENERGETICO'!S95</f>
        <v>0</v>
      </c>
      <c r="Q9" s="26">
        <f>+'[1]CONSUMO ENERGETICO'!AA95</f>
        <v>0</v>
      </c>
      <c r="R9" s="27">
        <v>0</v>
      </c>
      <c r="S9" s="27">
        <v>0</v>
      </c>
      <c r="T9" s="27">
        <v>0</v>
      </c>
      <c r="U9" s="28">
        <v>36</v>
      </c>
      <c r="V9" s="29">
        <v>72</v>
      </c>
      <c r="W9" s="29">
        <v>70</v>
      </c>
      <c r="X9" s="28">
        <f t="shared" si="5"/>
        <v>178</v>
      </c>
      <c r="Y9" s="25" t="s">
        <v>95</v>
      </c>
      <c r="Z9" s="25" t="s">
        <v>95</v>
      </c>
      <c r="AA9" s="25" t="s">
        <v>95</v>
      </c>
      <c r="AB9" s="29"/>
      <c r="AC9" s="31" t="s">
        <v>95</v>
      </c>
      <c r="AD9" s="31" t="s">
        <v>95</v>
      </c>
      <c r="AE9" s="29"/>
      <c r="AF9" s="32" t="s">
        <v>95</v>
      </c>
      <c r="AG9" s="32" t="s">
        <v>95</v>
      </c>
      <c r="AI9" s="33"/>
      <c r="AL9" s="39">
        <v>12.23</v>
      </c>
      <c r="AM9" s="39">
        <v>11.24</v>
      </c>
      <c r="AN9" s="39">
        <v>11.42</v>
      </c>
      <c r="AO9" s="39">
        <v>11.51</v>
      </c>
      <c r="AP9" s="34">
        <v>29.65</v>
      </c>
      <c r="AR9" s="5"/>
      <c r="AS9" s="5"/>
      <c r="AT9" s="5" t="e">
        <f t="shared" si="13"/>
        <v>#DIV/0!</v>
      </c>
    </row>
    <row r="10" spans="1:46" x14ac:dyDescent="0.2">
      <c r="A10" s="20">
        <f>'[1]CONSUMO ENERGETICO'!A96</f>
        <v>44774</v>
      </c>
      <c r="B10" s="21">
        <f>'[1]CONSUMO ENERGETICO'!F96</f>
        <v>0</v>
      </c>
      <c r="C10" s="21">
        <f>'[1]CONSUMO ENERGETICO'!O96</f>
        <v>0</v>
      </c>
      <c r="D10" s="21">
        <f>'[1]CONSUMO ENERGETICO'!W96</f>
        <v>0</v>
      </c>
      <c r="E10" s="22">
        <f>'[1]CONSUMO ENERGETICO'!B96</f>
        <v>0</v>
      </c>
      <c r="F10" s="22">
        <f>'[1]CONSUMO ENERGETICO'!L96</f>
        <v>0</v>
      </c>
      <c r="G10" s="22">
        <f>'[1]CONSUMO ENERGETICO'!T96</f>
        <v>0</v>
      </c>
      <c r="H10" s="23">
        <f>'[1]CONSUMO ENERGETICO'!K96</f>
        <v>0</v>
      </c>
      <c r="I10" s="24">
        <f t="shared" si="0"/>
        <v>0</v>
      </c>
      <c r="J10" s="24">
        <f t="shared" si="1"/>
        <v>0</v>
      </c>
      <c r="K10" s="24">
        <f t="shared" si="2"/>
        <v>0</v>
      </c>
      <c r="L10" s="25" t="s">
        <v>95</v>
      </c>
      <c r="M10" s="25" t="s">
        <v>95</v>
      </c>
      <c r="N10" s="25" t="s">
        <v>95</v>
      </c>
      <c r="O10" s="26">
        <f>+'[1]CONSUMO ENERGETICO'!J96</f>
        <v>0</v>
      </c>
      <c r="P10" s="26">
        <f>+'[1]CONSUMO ENERGETICO'!S96</f>
        <v>0</v>
      </c>
      <c r="Q10" s="26">
        <f>+'[1]CONSUMO ENERGETICO'!AA96</f>
        <v>0</v>
      </c>
      <c r="R10" s="27">
        <v>0</v>
      </c>
      <c r="S10" s="27">
        <v>0</v>
      </c>
      <c r="T10" s="27">
        <v>0</v>
      </c>
      <c r="U10" s="28">
        <v>36</v>
      </c>
      <c r="V10" s="29">
        <v>72</v>
      </c>
      <c r="W10" s="29">
        <v>70</v>
      </c>
      <c r="X10" s="28">
        <f t="shared" si="5"/>
        <v>178</v>
      </c>
      <c r="Y10" s="25" t="s">
        <v>95</v>
      </c>
      <c r="Z10" s="25" t="s">
        <v>95</v>
      </c>
      <c r="AA10" s="25" t="s">
        <v>95</v>
      </c>
      <c r="AB10" s="29"/>
      <c r="AC10" s="31" t="s">
        <v>95</v>
      </c>
      <c r="AD10" s="31" t="s">
        <v>95</v>
      </c>
      <c r="AE10" s="29"/>
      <c r="AF10" s="32" t="s">
        <v>95</v>
      </c>
      <c r="AG10" s="32" t="s">
        <v>95</v>
      </c>
      <c r="AI10" s="33"/>
      <c r="AR10" s="5" t="e">
        <f>E10/B10</f>
        <v>#DIV/0!</v>
      </c>
      <c r="AS10" s="5" t="e">
        <f>F10/C10</f>
        <v>#DIV/0!</v>
      </c>
      <c r="AT10" s="5" t="e">
        <f>G10/D10</f>
        <v>#DIV/0!</v>
      </c>
    </row>
    <row r="11" spans="1:46" s="38" customFormat="1" x14ac:dyDescent="0.2">
      <c r="A11" s="20">
        <f>'[1]CONSUMO ENERGETICO'!A97</f>
        <v>44805</v>
      </c>
      <c r="B11" s="21">
        <f>'[1]CONSUMO ENERGETICO'!F97</f>
        <v>0</v>
      </c>
      <c r="C11" s="21">
        <f>'[1]CONSUMO ENERGETICO'!O97</f>
        <v>0</v>
      </c>
      <c r="D11" s="21">
        <f>'[1]CONSUMO ENERGETICO'!W97</f>
        <v>2142.66</v>
      </c>
      <c r="E11" s="22">
        <f>'[1]CONSUMO ENERGETICO'!B97</f>
        <v>0</v>
      </c>
      <c r="F11" s="22">
        <f>'[1]CONSUMO ENERGETICO'!L97</f>
        <v>0</v>
      </c>
      <c r="G11" s="22">
        <f>'[1]CONSUMO ENERGETICO'!T97</f>
        <v>1282.08</v>
      </c>
      <c r="H11" s="23">
        <f>'[1]CONSUMO ENERGETICO'!K97</f>
        <v>6129.39</v>
      </c>
      <c r="I11" s="24">
        <f t="shared" si="0"/>
        <v>0</v>
      </c>
      <c r="J11" s="24">
        <f t="shared" si="1"/>
        <v>0</v>
      </c>
      <c r="K11" s="24">
        <f t="shared" si="2"/>
        <v>31197.722274863998</v>
      </c>
      <c r="L11" s="25" t="s">
        <v>95</v>
      </c>
      <c r="M11" s="25" t="s">
        <v>95</v>
      </c>
      <c r="N11" s="25">
        <f t="shared" ref="N11" si="16">+K11/D11</f>
        <v>14.560276607051049</v>
      </c>
      <c r="O11" s="26">
        <f>+'[1]CONSUMO ENERGETICO'!J97</f>
        <v>0</v>
      </c>
      <c r="P11" s="26">
        <f>+'[1]CONSUMO ENERGETICO'!S97</f>
        <v>0</v>
      </c>
      <c r="Q11" s="26">
        <f>+'[1]CONSUMO ENERGETICO'!AA97</f>
        <v>36</v>
      </c>
      <c r="R11" s="27">
        <v>0</v>
      </c>
      <c r="S11" s="27">
        <v>0</v>
      </c>
      <c r="T11" s="27">
        <f t="shared" ref="T11" si="17">+D11/Q11</f>
        <v>59.518333333333331</v>
      </c>
      <c r="U11" s="28">
        <v>36</v>
      </c>
      <c r="V11" s="29">
        <v>72</v>
      </c>
      <c r="W11" s="29">
        <v>70</v>
      </c>
      <c r="X11" s="28">
        <f t="shared" si="5"/>
        <v>178</v>
      </c>
      <c r="Y11" s="25" t="s">
        <v>95</v>
      </c>
      <c r="Z11" s="25" t="s">
        <v>95</v>
      </c>
      <c r="AA11" s="25">
        <f t="shared" ref="AA11" si="18">N11-(W11-T11)*0.0199</f>
        <v>14.351691440384382</v>
      </c>
      <c r="AB11" s="29"/>
      <c r="AC11" s="31">
        <f>N11</f>
        <v>14.560276607051049</v>
      </c>
      <c r="AD11" s="31">
        <f t="shared" ref="AD11" si="19">3.41214/AC11*100</f>
        <v>23.4345822684963</v>
      </c>
      <c r="AE11" s="29"/>
      <c r="AF11" s="32">
        <f>AA11</f>
        <v>14.351691440384382</v>
      </c>
      <c r="AG11" s="32">
        <f t="shared" ref="AG11" si="20">3.41214/AF11*100</f>
        <v>23.77517670424924</v>
      </c>
      <c r="AI11" s="33"/>
      <c r="AR11" s="5"/>
      <c r="AS11" s="5"/>
      <c r="AT11" s="5"/>
    </row>
    <row r="12" spans="1:46" x14ac:dyDescent="0.2">
      <c r="A12" s="20"/>
      <c r="B12" s="21"/>
      <c r="C12" s="21"/>
      <c r="D12" s="21"/>
      <c r="E12" s="22"/>
      <c r="F12" s="22"/>
      <c r="G12" s="22"/>
      <c r="H12" s="23"/>
      <c r="I12" s="24"/>
      <c r="J12" s="24"/>
      <c r="K12" s="24"/>
      <c r="L12" s="25"/>
      <c r="M12" s="25"/>
      <c r="N12" s="25"/>
      <c r="O12" s="26"/>
      <c r="P12" s="26"/>
      <c r="Q12" s="26"/>
      <c r="R12" s="27"/>
      <c r="S12" s="27"/>
      <c r="T12" s="27"/>
      <c r="U12" s="28"/>
      <c r="V12" s="29"/>
      <c r="W12" s="29"/>
      <c r="X12" s="28"/>
      <c r="Y12" s="25"/>
      <c r="Z12" s="25"/>
      <c r="AA12" s="25"/>
      <c r="AB12" s="29"/>
      <c r="AC12" s="31"/>
      <c r="AD12" s="31"/>
      <c r="AE12" s="29"/>
      <c r="AF12" s="32"/>
      <c r="AG12" s="32"/>
      <c r="AH12" s="38"/>
      <c r="AI12" s="38"/>
      <c r="AJ12" s="38"/>
      <c r="AK12" s="38"/>
      <c r="AR12" t="e">
        <f>AVERAGE(AR3:AR10)</f>
        <v>#DIV/0!</v>
      </c>
      <c r="AS12" t="e">
        <f t="shared" ref="AS12:AT12" si="21">AVERAGE(AS3:AS10)</f>
        <v>#DIV/0!</v>
      </c>
      <c r="AT12" t="e">
        <f t="shared" si="21"/>
        <v>#DIV/0!</v>
      </c>
    </row>
    <row r="13" spans="1:46" x14ac:dyDescent="0.2">
      <c r="A13" s="20"/>
      <c r="B13" s="21"/>
      <c r="C13" s="21"/>
      <c r="D13" s="21"/>
      <c r="E13" s="22"/>
      <c r="F13" s="22"/>
      <c r="G13" s="22"/>
      <c r="H13" s="23"/>
      <c r="I13" s="24"/>
      <c r="J13" s="24"/>
      <c r="K13" s="24"/>
      <c r="L13" s="25"/>
      <c r="M13" s="25"/>
      <c r="N13" s="25"/>
      <c r="O13" s="26"/>
      <c r="P13" s="26"/>
      <c r="Q13" s="26"/>
      <c r="R13" s="27"/>
      <c r="S13" s="27"/>
      <c r="T13" s="27"/>
      <c r="U13" s="28"/>
      <c r="V13" s="29"/>
      <c r="W13" s="29"/>
      <c r="X13" s="28"/>
      <c r="Y13" s="25"/>
      <c r="Z13" s="25"/>
      <c r="AA13" s="25"/>
      <c r="AB13" s="29"/>
      <c r="AC13" s="31"/>
      <c r="AD13" s="31"/>
      <c r="AE13" s="29"/>
      <c r="AF13" s="32"/>
      <c r="AG13" s="32"/>
      <c r="AH13" s="38"/>
      <c r="AI13" s="38"/>
      <c r="AJ13" s="38"/>
      <c r="AK13" s="38"/>
    </row>
    <row r="14" spans="1:46" s="38" customFormat="1" x14ac:dyDescent="0.2">
      <c r="A14" s="20"/>
      <c r="B14" s="21"/>
      <c r="C14" s="21"/>
      <c r="D14" s="21"/>
      <c r="E14" s="22"/>
      <c r="F14" s="22"/>
      <c r="G14" s="22"/>
      <c r="H14" s="23"/>
      <c r="I14" s="24"/>
      <c r="J14" s="24"/>
      <c r="K14" s="24"/>
      <c r="L14" s="25"/>
      <c r="M14" s="25"/>
      <c r="N14" s="25"/>
      <c r="O14" s="26"/>
      <c r="P14" s="26"/>
      <c r="Q14" s="26"/>
      <c r="R14" s="27"/>
      <c r="S14" s="27"/>
      <c r="T14" s="27"/>
      <c r="U14" s="28"/>
      <c r="V14" s="29"/>
      <c r="W14" s="29"/>
      <c r="X14" s="28"/>
      <c r="Y14" s="25"/>
      <c r="Z14" s="25"/>
      <c r="AA14" s="25"/>
      <c r="AB14" s="29"/>
      <c r="AC14" s="31"/>
      <c r="AD14" s="31"/>
      <c r="AE14" s="29"/>
      <c r="AF14" s="32"/>
      <c r="AG14" s="32"/>
    </row>
    <row r="15" spans="1:46" ht="7.5" customHeight="1" x14ac:dyDescent="0.2">
      <c r="A15" s="41"/>
      <c r="B15" s="42"/>
      <c r="L15" s="44"/>
      <c r="M15" s="44"/>
      <c r="N15" s="44"/>
      <c r="O15" s="38"/>
      <c r="P15" s="38"/>
      <c r="Q15" s="38"/>
      <c r="R15" s="38"/>
      <c r="S15" s="38"/>
      <c r="T15" s="38"/>
      <c r="U15" s="45"/>
      <c r="V15" s="45"/>
      <c r="W15" s="45"/>
      <c r="X15" s="38"/>
      <c r="Y15" s="46"/>
      <c r="Z15" s="46"/>
      <c r="AA15" s="46"/>
      <c r="AB15" s="47"/>
      <c r="AC15" s="33"/>
      <c r="AD15" s="33"/>
      <c r="AE15" s="47"/>
      <c r="AF15" s="47"/>
      <c r="AG15" s="47"/>
      <c r="AH15" s="38"/>
      <c r="AI15" s="38"/>
      <c r="AJ15" s="38"/>
      <c r="AK15" s="38"/>
    </row>
    <row r="16" spans="1:46" ht="3.75" customHeight="1" thickBot="1" x14ac:dyDescent="0.25">
      <c r="A16" s="48"/>
      <c r="B16" s="42"/>
      <c r="L16" s="44"/>
      <c r="M16" s="44"/>
      <c r="N16" s="44"/>
      <c r="O16" s="38"/>
      <c r="P16" s="38"/>
      <c r="Q16" s="38"/>
      <c r="R16" s="38"/>
      <c r="S16" s="38"/>
      <c r="T16" s="38"/>
      <c r="U16" s="45"/>
      <c r="V16" s="45"/>
      <c r="W16" s="45"/>
      <c r="X16" s="38"/>
      <c r="Y16" s="46"/>
      <c r="Z16" s="46"/>
      <c r="AA16" s="46"/>
      <c r="AB16" s="47"/>
      <c r="AC16" s="33"/>
      <c r="AD16" s="33"/>
      <c r="AE16" s="47"/>
      <c r="AF16" s="47"/>
      <c r="AG16" s="47"/>
      <c r="AH16" s="38"/>
      <c r="AI16" s="38"/>
      <c r="AJ16" s="38"/>
      <c r="AK16" s="38"/>
    </row>
    <row r="17" spans="1:43" s="50" customFormat="1" ht="15" customHeight="1" thickBot="1" x14ac:dyDescent="0.25">
      <c r="A17" s="183" t="s">
        <v>21</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5"/>
      <c r="AH17" s="49"/>
      <c r="AI17" s="49"/>
      <c r="AJ17" s="49"/>
      <c r="AK17" s="49"/>
      <c r="AL17" s="49"/>
      <c r="AM17" s="49"/>
      <c r="AN17" s="49"/>
      <c r="AO17" s="49"/>
      <c r="AP17" s="49"/>
    </row>
    <row r="18" spans="1:43" x14ac:dyDescent="0.2">
      <c r="A18" s="51">
        <v>44562</v>
      </c>
      <c r="B18" s="52">
        <f>+SUM(B$3)</f>
        <v>16410.060000000001</v>
      </c>
      <c r="C18" s="52">
        <f t="shared" ref="C18:K18" si="22">+SUM(C$3)</f>
        <v>28014.57</v>
      </c>
      <c r="D18" s="52">
        <f t="shared" si="22"/>
        <v>24864.52</v>
      </c>
      <c r="E18" s="53">
        <f t="shared" si="22"/>
        <v>9141.81</v>
      </c>
      <c r="F18" s="53">
        <f t="shared" si="22"/>
        <v>13492.8</v>
      </c>
      <c r="G18" s="53">
        <f t="shared" si="22"/>
        <v>11700.84</v>
      </c>
      <c r="H18" s="54">
        <f t="shared" ref="H18:H26" si="23">+H3</f>
        <v>5947.08</v>
      </c>
      <c r="I18" s="55">
        <f t="shared" si="22"/>
        <v>215837.28939675598</v>
      </c>
      <c r="J18" s="55">
        <f t="shared" si="22"/>
        <v>318563.76126527996</v>
      </c>
      <c r="K18" s="55">
        <f t="shared" si="22"/>
        <v>276255.75124238402</v>
      </c>
      <c r="L18" s="56">
        <f>+I18/B18</f>
        <v>13.152742244498555</v>
      </c>
      <c r="M18" s="56">
        <f t="shared" ref="M18:N26" si="24">+J18/C18</f>
        <v>11.371360019635496</v>
      </c>
      <c r="N18" s="56">
        <f t="shared" si="24"/>
        <v>11.110439744760164</v>
      </c>
      <c r="O18" s="57">
        <f>+SUM(O$3)</f>
        <v>588</v>
      </c>
      <c r="P18" s="57">
        <f>+SUM(P$3)</f>
        <v>434</v>
      </c>
      <c r="Q18" s="57">
        <f>+SUM(Q$3)</f>
        <v>383</v>
      </c>
      <c r="R18" s="58">
        <f>+B18/O18</f>
        <v>27.908265306122452</v>
      </c>
      <c r="S18" s="58">
        <f t="shared" ref="S18:T26" si="25">+C18/P18</f>
        <v>64.549700460829499</v>
      </c>
      <c r="T18" s="58">
        <f t="shared" si="25"/>
        <v>64.920417754569186</v>
      </c>
      <c r="U18" s="59">
        <v>36</v>
      </c>
      <c r="V18" s="60">
        <v>72</v>
      </c>
      <c r="W18" s="60">
        <v>70</v>
      </c>
      <c r="X18" s="59">
        <f t="shared" ref="X18:X26" si="26">+U18+V18+W18</f>
        <v>178</v>
      </c>
      <c r="Y18" s="61">
        <f>L18-(U18-R18)*0.0361</f>
        <v>12.860630622049575</v>
      </c>
      <c r="Z18" s="61">
        <f t="shared" ref="Z18:Z26" si="27">M18-(V18-S18)*0.0227</f>
        <v>11.202238220096326</v>
      </c>
      <c r="AA18" s="61">
        <f t="shared" ref="AA18:AA26" si="28">N18-(W18-T18)*0.0199</f>
        <v>11.00935605807609</v>
      </c>
      <c r="AB18" s="47"/>
      <c r="AC18" s="62">
        <f>L18*(U18/X18)+M18*(V18/X18)+N18*(W18/X18)</f>
        <v>11.629030473870309</v>
      </c>
      <c r="AD18" s="62">
        <f t="shared" ref="AD18:AD24" si="29">3.41214/AC18*100</f>
        <v>29.341568995513956</v>
      </c>
      <c r="AE18" s="47"/>
      <c r="AF18" s="63">
        <f>+Y18*(U18/X18)+Z18*(V18/X18)+AA18*(W18/X18)</f>
        <v>11.461790889359813</v>
      </c>
      <c r="AG18" s="63">
        <f t="shared" ref="AG18:AG23" si="30">3.41214/AF18*100</f>
        <v>29.769693348423861</v>
      </c>
      <c r="AH18" s="38"/>
      <c r="AI18" s="64"/>
      <c r="AJ18" s="38"/>
      <c r="AK18" s="38"/>
      <c r="AP18" s="34">
        <v>29.65</v>
      </c>
      <c r="AQ18" s="40">
        <v>44197</v>
      </c>
    </row>
    <row r="19" spans="1:43" x14ac:dyDescent="0.2">
      <c r="A19" s="65" t="s">
        <v>22</v>
      </c>
      <c r="B19" s="21">
        <f>+SUM(B$3:B4)</f>
        <v>32315.010000000002</v>
      </c>
      <c r="C19" s="21">
        <f>+SUM(C$3:C4)</f>
        <v>58564.619999999995</v>
      </c>
      <c r="D19" s="21">
        <f>+SUM(D$3:D4)</f>
        <v>60071.59</v>
      </c>
      <c r="E19" s="66">
        <f>+SUM(E$3:E4)</f>
        <v>17810.019999999997</v>
      </c>
      <c r="F19" s="66">
        <f>+SUM(F$3:F4)</f>
        <v>28328.71</v>
      </c>
      <c r="G19" s="66">
        <f>+SUM(G$3:G4)</f>
        <v>28242.11</v>
      </c>
      <c r="H19" s="67">
        <f t="shared" si="23"/>
        <v>5835.53</v>
      </c>
      <c r="I19" s="68">
        <f>+SUM(I$3:I4)</f>
        <v>416654.17941691692</v>
      </c>
      <c r="J19" s="68">
        <f>+SUM(J$3:J4)</f>
        <v>662268.09085801104</v>
      </c>
      <c r="K19" s="68">
        <f>+SUM(K$3:K4)</f>
        <v>659468.24821509107</v>
      </c>
      <c r="L19" s="25">
        <f t="shared" ref="L19:L25" si="31">+I19/B19</f>
        <v>12.893518504772763</v>
      </c>
      <c r="M19" s="25">
        <f t="shared" si="24"/>
        <v>11.308330709872465</v>
      </c>
      <c r="N19" s="25">
        <f t="shared" si="24"/>
        <v>10.97803884024197</v>
      </c>
      <c r="O19" s="69">
        <f>+SUM(O$3:O4)</f>
        <v>1076</v>
      </c>
      <c r="P19" s="69">
        <f>+SUM(P$3:P4)</f>
        <v>899</v>
      </c>
      <c r="Q19" s="69">
        <f>+SUM(Q$3:Q4)</f>
        <v>927</v>
      </c>
      <c r="R19" s="27">
        <f t="shared" ref="R19:R26" si="32">+B19/O19</f>
        <v>30.032537174721192</v>
      </c>
      <c r="S19" s="27">
        <f t="shared" si="25"/>
        <v>65.144182424916565</v>
      </c>
      <c r="T19" s="27">
        <f t="shared" si="25"/>
        <v>64.802146709816611</v>
      </c>
      <c r="U19" s="28">
        <v>36</v>
      </c>
      <c r="V19" s="29">
        <v>72</v>
      </c>
      <c r="W19" s="29">
        <v>70</v>
      </c>
      <c r="X19" s="28">
        <f t="shared" si="26"/>
        <v>178</v>
      </c>
      <c r="Y19" s="30">
        <f t="shared" ref="Y19:Y26" si="33">L19-(U19-R19)*0.0361</f>
        <v>12.678093096780197</v>
      </c>
      <c r="Z19" s="30">
        <f t="shared" si="27"/>
        <v>11.15270365091807</v>
      </c>
      <c r="AA19" s="30">
        <f t="shared" si="28"/>
        <v>10.874601559767321</v>
      </c>
      <c r="AB19" s="47"/>
      <c r="AC19" s="31">
        <f t="shared" ref="AC19:AC24" si="34">L19*(U19/X19)+M19*(V19/X19)+N19*(W19/X19)</f>
        <v>11.499040427525701</v>
      </c>
      <c r="AD19" s="31">
        <f t="shared" si="29"/>
        <v>29.673258577578594</v>
      </c>
      <c r="AE19" s="47"/>
      <c r="AF19" s="32">
        <f t="shared" ref="AF19:AF26" si="35">+Y19*(U19/X19)+Z19*(V19/X19)+AA19*(W19/X19)</f>
        <v>11.351843390639891</v>
      </c>
      <c r="AG19" s="32">
        <f t="shared" si="30"/>
        <v>30.058025666681271</v>
      </c>
      <c r="AH19" s="38"/>
      <c r="AI19" s="38"/>
      <c r="AJ19" s="38"/>
      <c r="AK19" s="38"/>
      <c r="AP19" s="34">
        <v>29.65</v>
      </c>
      <c r="AQ19" s="40">
        <v>44228</v>
      </c>
    </row>
    <row r="20" spans="1:43" s="38" customFormat="1" x14ac:dyDescent="0.2">
      <c r="A20" s="65" t="s">
        <v>23</v>
      </c>
      <c r="B20" s="21">
        <f>+SUM(B$3:B5)</f>
        <v>32748.230000000003</v>
      </c>
      <c r="C20" s="21">
        <f>+SUM(C$3:C5)</f>
        <v>64377.859999999993</v>
      </c>
      <c r="D20" s="21">
        <f>+SUM(D$3:D5)</f>
        <v>66051.59</v>
      </c>
      <c r="E20" s="66">
        <f>+SUM(E$3:E5)</f>
        <v>18102.049999999996</v>
      </c>
      <c r="F20" s="66">
        <f>+SUM(F$3:F5)</f>
        <v>31416.03</v>
      </c>
      <c r="G20" s="66">
        <f>+SUM(G$3:G5)</f>
        <v>31156.240000000002</v>
      </c>
      <c r="H20" s="67">
        <f t="shared" si="23"/>
        <v>5946.58</v>
      </c>
      <c r="I20" s="68">
        <f>+SUM(I$3:I5)</f>
        <v>423548.40105379489</v>
      </c>
      <c r="J20" s="68">
        <f>+SUM(J$3:J5)</f>
        <v>735153.30245944299</v>
      </c>
      <c r="K20" s="68">
        <f>+SUM(K$3:K5)</f>
        <v>728264.80370142905</v>
      </c>
      <c r="L20" s="25">
        <f t="shared" si="31"/>
        <v>12.933474604697562</v>
      </c>
      <c r="M20" s="25">
        <f t="shared" si="24"/>
        <v>11.419349796023711</v>
      </c>
      <c r="N20" s="25">
        <f t="shared" si="24"/>
        <v>11.025696787941502</v>
      </c>
      <c r="O20" s="69">
        <f>+SUM(O$3:O5)</f>
        <v>1089</v>
      </c>
      <c r="P20" s="69">
        <f>+SUM(P$3:P5)</f>
        <v>1008</v>
      </c>
      <c r="Q20" s="69">
        <f>+SUM(Q$3:Q5)</f>
        <v>1036</v>
      </c>
      <c r="R20" s="27">
        <f t="shared" si="32"/>
        <v>30.071836547291095</v>
      </c>
      <c r="S20" s="27">
        <f t="shared" si="25"/>
        <v>63.866924603174596</v>
      </c>
      <c r="T20" s="27">
        <f t="shared" si="25"/>
        <v>63.756361003861002</v>
      </c>
      <c r="U20" s="28">
        <v>36</v>
      </c>
      <c r="V20" s="29">
        <v>72</v>
      </c>
      <c r="W20" s="29">
        <v>70</v>
      </c>
      <c r="X20" s="28">
        <f t="shared" si="26"/>
        <v>178</v>
      </c>
      <c r="Y20" s="30">
        <f t="shared" si="33"/>
        <v>12.71946790405477</v>
      </c>
      <c r="Z20" s="30">
        <f t="shared" si="27"/>
        <v>11.234728984515774</v>
      </c>
      <c r="AA20" s="30">
        <f t="shared" si="28"/>
        <v>10.901448371918336</v>
      </c>
      <c r="AB20" s="47"/>
      <c r="AC20" s="31">
        <f t="shared" si="34"/>
        <v>11.570769922689465</v>
      </c>
      <c r="AD20" s="31">
        <f t="shared" si="29"/>
        <v>29.489308168759226</v>
      </c>
      <c r="AE20" s="47"/>
      <c r="AF20" s="32">
        <f t="shared" si="35"/>
        <v>11.403947850929164</v>
      </c>
      <c r="AG20" s="32">
        <f t="shared" si="30"/>
        <v>29.920691015103053</v>
      </c>
      <c r="AP20" s="34">
        <v>29.65</v>
      </c>
      <c r="AQ20" s="40">
        <v>44256</v>
      </c>
    </row>
    <row r="21" spans="1:43" x14ac:dyDescent="0.2">
      <c r="A21" s="65" t="s">
        <v>24</v>
      </c>
      <c r="B21" s="21">
        <f>+SUM(B$3:B6)</f>
        <v>32748.230000000003</v>
      </c>
      <c r="C21" s="21">
        <f>+SUM(C$3:C6)</f>
        <v>64377.859999999993</v>
      </c>
      <c r="D21" s="21">
        <f>+SUM(D$3:D6)</f>
        <v>66051.59</v>
      </c>
      <c r="E21" s="66">
        <f>+SUM(E$3:E6)</f>
        <v>18102.049999999996</v>
      </c>
      <c r="F21" s="66">
        <f>+SUM(F$3:F6)</f>
        <v>31416.03</v>
      </c>
      <c r="G21" s="66">
        <f>+SUM(G$3:G6)</f>
        <v>31156.240000000002</v>
      </c>
      <c r="H21" s="67">
        <f t="shared" si="23"/>
        <v>0</v>
      </c>
      <c r="I21" s="68">
        <f>+SUM(I$3:I6)</f>
        <v>423548.40105379489</v>
      </c>
      <c r="J21" s="68">
        <f>+SUM(J$3:J6)</f>
        <v>735153.30245944299</v>
      </c>
      <c r="K21" s="68">
        <f>+SUM(K$3:K6)</f>
        <v>728264.80370142905</v>
      </c>
      <c r="L21" s="25">
        <f t="shared" si="31"/>
        <v>12.933474604697562</v>
      </c>
      <c r="M21" s="25">
        <f t="shared" si="24"/>
        <v>11.419349796023711</v>
      </c>
      <c r="N21" s="25">
        <f t="shared" si="24"/>
        <v>11.025696787941502</v>
      </c>
      <c r="O21" s="69">
        <f>+SUM(O$3:O6)</f>
        <v>1089</v>
      </c>
      <c r="P21" s="69">
        <f>+SUM(P$3:P6)</f>
        <v>1008</v>
      </c>
      <c r="Q21" s="69">
        <f>+SUM(Q$3:Q6)</f>
        <v>1036</v>
      </c>
      <c r="R21" s="27">
        <f t="shared" si="32"/>
        <v>30.071836547291095</v>
      </c>
      <c r="S21" s="27">
        <f t="shared" si="25"/>
        <v>63.866924603174596</v>
      </c>
      <c r="T21" s="27">
        <f t="shared" si="25"/>
        <v>63.756361003861002</v>
      </c>
      <c r="U21" s="28">
        <v>36</v>
      </c>
      <c r="V21" s="29">
        <v>72</v>
      </c>
      <c r="W21" s="29">
        <v>70</v>
      </c>
      <c r="X21" s="28">
        <f t="shared" si="26"/>
        <v>178</v>
      </c>
      <c r="Y21" s="30">
        <f t="shared" si="33"/>
        <v>12.71946790405477</v>
      </c>
      <c r="Z21" s="30">
        <f t="shared" si="27"/>
        <v>11.234728984515774</v>
      </c>
      <c r="AA21" s="30">
        <f t="shared" si="28"/>
        <v>10.901448371918336</v>
      </c>
      <c r="AB21" s="47"/>
      <c r="AC21" s="31">
        <f t="shared" si="34"/>
        <v>11.570769922689465</v>
      </c>
      <c r="AD21" s="31">
        <f t="shared" si="29"/>
        <v>29.489308168759226</v>
      </c>
      <c r="AE21" s="47"/>
      <c r="AF21" s="32">
        <f t="shared" si="35"/>
        <v>11.403947850929164</v>
      </c>
      <c r="AG21" s="32">
        <f t="shared" si="30"/>
        <v>29.920691015103053</v>
      </c>
      <c r="AH21" s="38"/>
      <c r="AI21" s="38"/>
      <c r="AJ21" s="38"/>
      <c r="AK21" s="38"/>
      <c r="AP21" s="34">
        <v>29.65</v>
      </c>
      <c r="AQ21" s="40">
        <v>44287</v>
      </c>
    </row>
    <row r="22" spans="1:43" x14ac:dyDescent="0.2">
      <c r="A22" s="65" t="s">
        <v>25</v>
      </c>
      <c r="B22" s="21">
        <f>+SUM(B$3:B7)</f>
        <v>32748.230000000003</v>
      </c>
      <c r="C22" s="21">
        <f>+SUM(C$3:C7)</f>
        <v>64377.859999999993</v>
      </c>
      <c r="D22" s="21">
        <f>+SUM(D$3:D7)</f>
        <v>66051.59</v>
      </c>
      <c r="E22" s="66">
        <f>+SUM(E$3:E7)</f>
        <v>18102.049999999996</v>
      </c>
      <c r="F22" s="66">
        <f>+SUM(F$3:F7)</f>
        <v>31416.03</v>
      </c>
      <c r="G22" s="66">
        <f>+SUM(G$3:G7)</f>
        <v>31156.240000000002</v>
      </c>
      <c r="H22" s="67">
        <f t="shared" si="23"/>
        <v>0</v>
      </c>
      <c r="I22" s="68">
        <f>+SUM(I$3:I7)</f>
        <v>423548.40105379489</v>
      </c>
      <c r="J22" s="68">
        <f>+SUM(J$3:J7)</f>
        <v>735153.30245944299</v>
      </c>
      <c r="K22" s="68">
        <f>+SUM(K$3:K7)</f>
        <v>728264.80370142905</v>
      </c>
      <c r="L22" s="25">
        <f t="shared" si="31"/>
        <v>12.933474604697562</v>
      </c>
      <c r="M22" s="25">
        <f t="shared" si="24"/>
        <v>11.419349796023711</v>
      </c>
      <c r="N22" s="25">
        <f t="shared" si="24"/>
        <v>11.025696787941502</v>
      </c>
      <c r="O22" s="69">
        <f>+SUM(O$3:O7)</f>
        <v>1089</v>
      </c>
      <c r="P22" s="69">
        <f>+SUM(P$3:P7)</f>
        <v>1008</v>
      </c>
      <c r="Q22" s="69">
        <f>+SUM(Q$3:Q7)</f>
        <v>1036</v>
      </c>
      <c r="R22" s="27">
        <f t="shared" si="32"/>
        <v>30.071836547291095</v>
      </c>
      <c r="S22" s="27">
        <f t="shared" si="25"/>
        <v>63.866924603174596</v>
      </c>
      <c r="T22" s="27">
        <f t="shared" si="25"/>
        <v>63.756361003861002</v>
      </c>
      <c r="U22" s="28">
        <v>36</v>
      </c>
      <c r="V22" s="29">
        <v>72</v>
      </c>
      <c r="W22" s="29">
        <v>70</v>
      </c>
      <c r="X22" s="28">
        <f t="shared" si="26"/>
        <v>178</v>
      </c>
      <c r="Y22" s="30">
        <f t="shared" si="33"/>
        <v>12.71946790405477</v>
      </c>
      <c r="Z22" s="30">
        <f t="shared" si="27"/>
        <v>11.234728984515774</v>
      </c>
      <c r="AA22" s="30">
        <f t="shared" si="28"/>
        <v>10.901448371918336</v>
      </c>
      <c r="AB22" s="47"/>
      <c r="AC22" s="31">
        <f t="shared" si="34"/>
        <v>11.570769922689465</v>
      </c>
      <c r="AD22" s="31">
        <f t="shared" si="29"/>
        <v>29.489308168759226</v>
      </c>
      <c r="AE22" s="47"/>
      <c r="AF22" s="32">
        <f t="shared" si="35"/>
        <v>11.403947850929164</v>
      </c>
      <c r="AG22" s="32">
        <f t="shared" si="30"/>
        <v>29.920691015103053</v>
      </c>
      <c r="AH22" s="38"/>
      <c r="AI22" s="38"/>
      <c r="AJ22" s="38"/>
      <c r="AK22" s="38"/>
      <c r="AP22" s="34">
        <v>29.65</v>
      </c>
      <c r="AQ22" s="40">
        <v>44317</v>
      </c>
    </row>
    <row r="23" spans="1:43" x14ac:dyDescent="0.2">
      <c r="A23" s="65" t="s">
        <v>26</v>
      </c>
      <c r="B23" s="21">
        <f>+SUM(B$3:B8)</f>
        <v>34371.040000000001</v>
      </c>
      <c r="C23" s="21">
        <f>+SUM(C$3:C8)</f>
        <v>67451.609999999986</v>
      </c>
      <c r="D23" s="21">
        <f>+SUM(D$3:D8)</f>
        <v>68548.160000000003</v>
      </c>
      <c r="E23" s="66">
        <f>+SUM(E$3:E8)</f>
        <v>18751.179999999997</v>
      </c>
      <c r="F23" s="66">
        <f>+SUM(F$3:F8)</f>
        <v>32382.12</v>
      </c>
      <c r="G23" s="66">
        <f>+SUM(G$3:G8)</f>
        <v>31918.920000000002</v>
      </c>
      <c r="H23" s="67">
        <f t="shared" si="23"/>
        <v>6350.59</v>
      </c>
      <c r="I23" s="68">
        <f>+SUM(I$3:I8)</f>
        <v>439914.16424599389</v>
      </c>
      <c r="J23" s="68">
        <f>+SUM(J$3:J8)</f>
        <v>759510.21118704998</v>
      </c>
      <c r="K23" s="68">
        <f>+SUM(K$3:K8)</f>
        <v>747493.3715867931</v>
      </c>
      <c r="L23" s="25">
        <f t="shared" si="31"/>
        <v>12.798977402080178</v>
      </c>
      <c r="M23" s="25">
        <f t="shared" si="24"/>
        <v>11.260075351604655</v>
      </c>
      <c r="N23" s="25">
        <f t="shared" si="24"/>
        <v>10.90464531194992</v>
      </c>
      <c r="O23" s="69">
        <f>+SUM(O$3:O8)</f>
        <v>1142</v>
      </c>
      <c r="P23" s="69">
        <f>+SUM(P$3:P8)</f>
        <v>1060</v>
      </c>
      <c r="Q23" s="69">
        <f>+SUM(Q$3:Q8)</f>
        <v>1086</v>
      </c>
      <c r="R23" s="27">
        <f t="shared" si="32"/>
        <v>30.097232924693522</v>
      </c>
      <c r="S23" s="27">
        <f t="shared" si="25"/>
        <v>63.633594339622626</v>
      </c>
      <c r="T23" s="27">
        <f t="shared" si="25"/>
        <v>63.119852670349914</v>
      </c>
      <c r="U23" s="28">
        <v>36</v>
      </c>
      <c r="V23" s="29">
        <v>72</v>
      </c>
      <c r="W23" s="29">
        <v>70</v>
      </c>
      <c r="X23" s="28">
        <f t="shared" si="26"/>
        <v>178</v>
      </c>
      <c r="Y23" s="30">
        <f t="shared" si="33"/>
        <v>12.585887510661614</v>
      </c>
      <c r="Z23" s="30">
        <f t="shared" si="27"/>
        <v>11.070157943114088</v>
      </c>
      <c r="AA23" s="30">
        <f t="shared" si="28"/>
        <v>10.767730380089883</v>
      </c>
      <c r="AB23" s="47"/>
      <c r="AC23" s="31">
        <f t="shared" si="34"/>
        <v>11.431538110263574</v>
      </c>
      <c r="AD23" s="31">
        <f t="shared" si="29"/>
        <v>29.84847679365631</v>
      </c>
      <c r="AE23" s="47"/>
      <c r="AF23" s="32">
        <f t="shared" si="35"/>
        <v>11.257777802777102</v>
      </c>
      <c r="AG23" s="32">
        <f t="shared" si="30"/>
        <v>30.309178772015581</v>
      </c>
      <c r="AH23" s="38"/>
      <c r="AI23" s="47"/>
      <c r="AJ23" s="47"/>
      <c r="AK23" s="47"/>
      <c r="AP23" s="34">
        <v>29.65</v>
      </c>
      <c r="AQ23" s="40">
        <v>44348</v>
      </c>
    </row>
    <row r="24" spans="1:43" x14ac:dyDescent="0.2">
      <c r="A24" s="65" t="s">
        <v>27</v>
      </c>
      <c r="B24" s="21">
        <f>+SUM(B$3:B9)</f>
        <v>34371.040000000001</v>
      </c>
      <c r="C24" s="21">
        <f>+SUM(C$3:C9)</f>
        <v>67451.609999999986</v>
      </c>
      <c r="D24" s="21">
        <f>+SUM(D$3:D9)</f>
        <v>68548.160000000003</v>
      </c>
      <c r="E24" s="66">
        <f>+SUM(E$3:E9)</f>
        <v>18751.179999999997</v>
      </c>
      <c r="F24" s="66">
        <f>+SUM(F$3:F9)</f>
        <v>32382.12</v>
      </c>
      <c r="G24" s="66">
        <f>+SUM(G$3:G9)</f>
        <v>31918.920000000002</v>
      </c>
      <c r="H24" s="67">
        <f t="shared" si="23"/>
        <v>0</v>
      </c>
      <c r="I24" s="68">
        <f>+SUM(I$3:I9)</f>
        <v>439914.16424599389</v>
      </c>
      <c r="J24" s="68">
        <f>+SUM(J$3:J9)</f>
        <v>759510.21118704998</v>
      </c>
      <c r="K24" s="68">
        <f>+SUM(K$3:K9)</f>
        <v>747493.3715867931</v>
      </c>
      <c r="L24" s="25">
        <f t="shared" si="31"/>
        <v>12.798977402080178</v>
      </c>
      <c r="M24" s="25">
        <f t="shared" si="24"/>
        <v>11.260075351604655</v>
      </c>
      <c r="N24" s="25">
        <f t="shared" si="24"/>
        <v>10.90464531194992</v>
      </c>
      <c r="O24" s="69">
        <f>+SUM(O$3:O9)</f>
        <v>1142</v>
      </c>
      <c r="P24" s="69">
        <f>+SUM(P$3:P9)</f>
        <v>1060</v>
      </c>
      <c r="Q24" s="69">
        <f>+SUM(Q$3:Q9)</f>
        <v>1086</v>
      </c>
      <c r="R24" s="27">
        <f t="shared" si="32"/>
        <v>30.097232924693522</v>
      </c>
      <c r="S24" s="27">
        <f t="shared" si="25"/>
        <v>63.633594339622626</v>
      </c>
      <c r="T24" s="27">
        <f t="shared" si="25"/>
        <v>63.119852670349914</v>
      </c>
      <c r="U24" s="28">
        <v>36</v>
      </c>
      <c r="V24" s="29">
        <v>72</v>
      </c>
      <c r="W24" s="29">
        <v>70</v>
      </c>
      <c r="X24" s="28">
        <f t="shared" si="26"/>
        <v>178</v>
      </c>
      <c r="Y24" s="30">
        <f t="shared" si="33"/>
        <v>12.585887510661614</v>
      </c>
      <c r="Z24" s="30">
        <f t="shared" si="27"/>
        <v>11.070157943114088</v>
      </c>
      <c r="AA24" s="30">
        <f t="shared" si="28"/>
        <v>10.767730380089883</v>
      </c>
      <c r="AB24" s="47"/>
      <c r="AC24" s="31">
        <f t="shared" si="34"/>
        <v>11.431538110263574</v>
      </c>
      <c r="AD24" s="31">
        <f t="shared" si="29"/>
        <v>29.84847679365631</v>
      </c>
      <c r="AE24" s="47"/>
      <c r="AF24" s="32">
        <f t="shared" si="35"/>
        <v>11.257777802777102</v>
      </c>
      <c r="AG24" s="32">
        <f>3.41214/AF24*100</f>
        <v>30.309178772015581</v>
      </c>
      <c r="AH24" s="38"/>
      <c r="AI24" s="70"/>
      <c r="AJ24" s="71"/>
      <c r="AK24" s="70"/>
      <c r="AP24" s="34">
        <v>29.65</v>
      </c>
      <c r="AQ24" s="40">
        <v>44378</v>
      </c>
    </row>
    <row r="25" spans="1:43" x14ac:dyDescent="0.2">
      <c r="A25" s="65" t="s">
        <v>28</v>
      </c>
      <c r="B25" s="21">
        <f>+SUM(B$3:B10)</f>
        <v>34371.040000000001</v>
      </c>
      <c r="C25" s="21">
        <f>+SUM(C$3:C10)</f>
        <v>67451.609999999986</v>
      </c>
      <c r="D25" s="21">
        <f>+SUM(D$3:D10)</f>
        <v>68548.160000000003</v>
      </c>
      <c r="E25" s="66">
        <f>+SUM(E$3:E10)</f>
        <v>18751.179999999997</v>
      </c>
      <c r="F25" s="66">
        <f>+SUM(F$3:F10)</f>
        <v>32382.12</v>
      </c>
      <c r="G25" s="66">
        <f>+SUM(G$3:G10)</f>
        <v>31918.920000000002</v>
      </c>
      <c r="H25" s="67">
        <f t="shared" si="23"/>
        <v>0</v>
      </c>
      <c r="I25" s="68">
        <f>+SUM(I$3:I10)</f>
        <v>439914.16424599389</v>
      </c>
      <c r="J25" s="68">
        <f>+SUM(J$3:J10)</f>
        <v>759510.21118704998</v>
      </c>
      <c r="K25" s="68">
        <f>+SUM(K$3:K10)</f>
        <v>747493.3715867931</v>
      </c>
      <c r="L25" s="25">
        <f t="shared" si="31"/>
        <v>12.798977402080178</v>
      </c>
      <c r="M25" s="25">
        <f t="shared" si="24"/>
        <v>11.260075351604655</v>
      </c>
      <c r="N25" s="25">
        <f t="shared" si="24"/>
        <v>10.90464531194992</v>
      </c>
      <c r="O25" s="69">
        <f>+SUM(O$3:O10)</f>
        <v>1142</v>
      </c>
      <c r="P25" s="69">
        <f>+SUM(P$3:P10)</f>
        <v>1060</v>
      </c>
      <c r="Q25" s="69">
        <f>+SUM(Q$3:Q10)</f>
        <v>1086</v>
      </c>
      <c r="R25" s="27">
        <f t="shared" si="32"/>
        <v>30.097232924693522</v>
      </c>
      <c r="S25" s="27">
        <f t="shared" si="25"/>
        <v>63.633594339622626</v>
      </c>
      <c r="T25" s="27">
        <f t="shared" si="25"/>
        <v>63.119852670349914</v>
      </c>
      <c r="U25" s="28">
        <v>36</v>
      </c>
      <c r="V25" s="29">
        <v>72</v>
      </c>
      <c r="W25" s="29">
        <v>70</v>
      </c>
      <c r="X25" s="28">
        <f t="shared" si="26"/>
        <v>178</v>
      </c>
      <c r="Y25" s="30">
        <f t="shared" si="33"/>
        <v>12.585887510661614</v>
      </c>
      <c r="Z25" s="30">
        <f t="shared" si="27"/>
        <v>11.070157943114088</v>
      </c>
      <c r="AA25" s="30">
        <f t="shared" si="28"/>
        <v>10.767730380089883</v>
      </c>
      <c r="AB25" s="47"/>
      <c r="AC25" s="31">
        <f>L25*(U25/X25)+M25*(V25/X25)+N25*(W25/X25)</f>
        <v>11.431538110263574</v>
      </c>
      <c r="AD25" s="31">
        <f>3.41214/AC25*100</f>
        <v>29.84847679365631</v>
      </c>
      <c r="AE25" s="47"/>
      <c r="AF25" s="32">
        <f t="shared" si="35"/>
        <v>11.257777802777102</v>
      </c>
      <c r="AG25" s="32">
        <f>3.41214/AF25*100</f>
        <v>30.309178772015581</v>
      </c>
      <c r="AH25" s="38"/>
      <c r="AI25" s="72"/>
      <c r="AJ25" s="72"/>
      <c r="AK25" s="72"/>
      <c r="AP25" s="34">
        <v>29.65</v>
      </c>
      <c r="AQ25" s="40">
        <v>44409</v>
      </c>
    </row>
    <row r="26" spans="1:43" x14ac:dyDescent="0.2">
      <c r="A26" s="65" t="s">
        <v>29</v>
      </c>
      <c r="B26" s="21">
        <f>+SUM(B$3:B11)</f>
        <v>34371.040000000001</v>
      </c>
      <c r="C26" s="21">
        <f>+SUM(C$3:C11)</f>
        <v>67451.609999999986</v>
      </c>
      <c r="D26" s="21">
        <f>+SUM(D$3:D11)</f>
        <v>70690.820000000007</v>
      </c>
      <c r="E26" s="66">
        <f>+SUM(E$3:E11)</f>
        <v>18751.179999999997</v>
      </c>
      <c r="F26" s="66">
        <f>+SUM(F$3:F11)</f>
        <v>32382.12</v>
      </c>
      <c r="G26" s="66">
        <f>+SUM(G$3:G11)</f>
        <v>33201</v>
      </c>
      <c r="H26" s="67">
        <f t="shared" si="23"/>
        <v>6129.39</v>
      </c>
      <c r="I26" s="68">
        <f>+SUM(I$3:I11)</f>
        <v>439914.16424599389</v>
      </c>
      <c r="J26" s="68">
        <f>+SUM(J$3:J11)</f>
        <v>759510.21118704998</v>
      </c>
      <c r="K26" s="68">
        <f>+SUM(K$3:K11)</f>
        <v>778691.09386165708</v>
      </c>
      <c r="L26" s="25">
        <f>+I26/B26</f>
        <v>12.798977402080178</v>
      </c>
      <c r="M26" s="25">
        <f t="shared" si="24"/>
        <v>11.260075351604655</v>
      </c>
      <c r="N26" s="25">
        <f t="shared" si="24"/>
        <v>11.015448595187564</v>
      </c>
      <c r="O26" s="69">
        <f>+SUM(O$3:O11)</f>
        <v>1142</v>
      </c>
      <c r="P26" s="69">
        <f>+SUM(P$3:P11)</f>
        <v>1060</v>
      </c>
      <c r="Q26" s="69">
        <f>+SUM(Q$3:Q11)</f>
        <v>1122</v>
      </c>
      <c r="R26" s="27">
        <f t="shared" si="32"/>
        <v>30.097232924693522</v>
      </c>
      <c r="S26" s="27">
        <f t="shared" si="25"/>
        <v>63.633594339622626</v>
      </c>
      <c r="T26" s="27">
        <f t="shared" si="25"/>
        <v>63.004295900178256</v>
      </c>
      <c r="U26" s="28">
        <v>36</v>
      </c>
      <c r="V26" s="29">
        <v>72</v>
      </c>
      <c r="W26" s="29">
        <v>70</v>
      </c>
      <c r="X26" s="28">
        <f t="shared" si="26"/>
        <v>178</v>
      </c>
      <c r="Y26" s="30">
        <f t="shared" si="33"/>
        <v>12.585887510661614</v>
      </c>
      <c r="Z26" s="30">
        <f t="shared" si="27"/>
        <v>11.070157943114088</v>
      </c>
      <c r="AA26" s="30">
        <f t="shared" si="28"/>
        <v>10.876234083601112</v>
      </c>
      <c r="AB26" s="47"/>
      <c r="AC26" s="31">
        <f t="shared" ref="AC26" si="36">L26*(U26/X26)+M26*(V26/X26)+N26*(W26/X26)</f>
        <v>11.47511243513231</v>
      </c>
      <c r="AD26" s="31">
        <f t="shared" ref="AD26" si="37">3.41214/AC26*100</f>
        <v>29.735133483776256</v>
      </c>
      <c r="AE26" s="47"/>
      <c r="AF26" s="32">
        <f t="shared" si="35"/>
        <v>11.300447798539945</v>
      </c>
      <c r="AG26" s="32">
        <f t="shared" ref="AG26" si="38">3.41214/AF26*100</f>
        <v>30.19473264095658</v>
      </c>
      <c r="AH26" s="38"/>
      <c r="AI26" s="47"/>
      <c r="AJ26" s="47"/>
      <c r="AK26" s="47"/>
      <c r="AP26" s="34">
        <v>29.65</v>
      </c>
      <c r="AQ26" s="40">
        <v>44440</v>
      </c>
    </row>
    <row r="27" spans="1:43" x14ac:dyDescent="0.2">
      <c r="A27" s="65" t="s">
        <v>30</v>
      </c>
      <c r="B27" s="21"/>
      <c r="C27" s="21"/>
      <c r="D27" s="21"/>
      <c r="E27" s="66"/>
      <c r="F27" s="66"/>
      <c r="G27" s="66"/>
      <c r="H27" s="67"/>
      <c r="I27" s="68"/>
      <c r="J27" s="68"/>
      <c r="K27" s="68"/>
      <c r="L27" s="25"/>
      <c r="M27" s="25"/>
      <c r="N27" s="25"/>
      <c r="O27" s="69"/>
      <c r="P27" s="69"/>
      <c r="Q27" s="69"/>
      <c r="R27" s="27"/>
      <c r="S27" s="27"/>
      <c r="T27" s="27"/>
      <c r="U27" s="28"/>
      <c r="V27" s="29"/>
      <c r="W27" s="29"/>
      <c r="X27" s="28"/>
      <c r="Y27" s="30"/>
      <c r="Z27" s="30"/>
      <c r="AA27" s="30"/>
      <c r="AB27" s="47"/>
      <c r="AC27" s="31"/>
      <c r="AD27" s="31"/>
      <c r="AE27" s="47"/>
      <c r="AF27" s="32"/>
      <c r="AG27" s="32"/>
      <c r="AH27" s="38"/>
      <c r="AI27" s="47"/>
      <c r="AJ27" s="47"/>
      <c r="AK27" s="47"/>
      <c r="AP27" s="34">
        <v>29.65</v>
      </c>
      <c r="AQ27" s="40">
        <v>44470</v>
      </c>
    </row>
    <row r="28" spans="1:43" x14ac:dyDescent="0.2">
      <c r="A28" s="65" t="s">
        <v>31</v>
      </c>
      <c r="B28" s="21"/>
      <c r="C28" s="21"/>
      <c r="D28" s="21"/>
      <c r="E28" s="66"/>
      <c r="F28" s="66"/>
      <c r="G28" s="66"/>
      <c r="H28" s="67"/>
      <c r="I28" s="68"/>
      <c r="J28" s="68"/>
      <c r="K28" s="68"/>
      <c r="L28" s="25"/>
      <c r="M28" s="25"/>
      <c r="N28" s="25"/>
      <c r="O28" s="69"/>
      <c r="P28" s="69"/>
      <c r="Q28" s="69"/>
      <c r="R28" s="27"/>
      <c r="S28" s="27"/>
      <c r="T28" s="27"/>
      <c r="U28" s="28"/>
      <c r="V28" s="29"/>
      <c r="W28" s="29"/>
      <c r="X28" s="28"/>
      <c r="Y28" s="30"/>
      <c r="Z28" s="30"/>
      <c r="AA28" s="30"/>
      <c r="AB28" s="47"/>
      <c r="AC28" s="31"/>
      <c r="AD28" s="31"/>
      <c r="AE28" s="47"/>
      <c r="AF28" s="32"/>
      <c r="AG28" s="32"/>
      <c r="AH28" s="38"/>
      <c r="AI28" s="38"/>
      <c r="AJ28" s="38"/>
      <c r="AK28" s="38"/>
      <c r="AP28" s="34">
        <v>29.65</v>
      </c>
      <c r="AQ28" s="40">
        <v>44501</v>
      </c>
    </row>
    <row r="29" spans="1:43" s="47" customFormat="1" x14ac:dyDescent="0.2">
      <c r="A29" s="65" t="s">
        <v>32</v>
      </c>
      <c r="B29" s="21"/>
      <c r="C29" s="21"/>
      <c r="D29" s="21"/>
      <c r="E29" s="66"/>
      <c r="F29" s="66"/>
      <c r="G29" s="66"/>
      <c r="H29" s="67"/>
      <c r="I29" s="68"/>
      <c r="J29" s="68"/>
      <c r="K29" s="68"/>
      <c r="L29" s="25"/>
      <c r="M29" s="25"/>
      <c r="N29" s="25"/>
      <c r="O29" s="69"/>
      <c r="P29" s="69"/>
      <c r="Q29" s="69"/>
      <c r="R29" s="27"/>
      <c r="S29" s="27"/>
      <c r="T29" s="27"/>
      <c r="U29" s="28"/>
      <c r="V29" s="29"/>
      <c r="W29" s="29"/>
      <c r="X29" s="28"/>
      <c r="Y29" s="30"/>
      <c r="Z29" s="30"/>
      <c r="AA29" s="30"/>
      <c r="AC29" s="31"/>
      <c r="AD29" s="31"/>
      <c r="AF29" s="32"/>
      <c r="AG29" s="32"/>
      <c r="AP29" s="34">
        <v>29.65</v>
      </c>
      <c r="AQ29" s="40">
        <v>44531</v>
      </c>
    </row>
    <row r="30" spans="1:43" s="47" customFormat="1" x14ac:dyDescent="0.2">
      <c r="A30" s="48"/>
      <c r="B30" s="73"/>
      <c r="E30" s="73"/>
      <c r="I30" s="74"/>
      <c r="J30" s="74"/>
      <c r="K30" s="74"/>
      <c r="L30" s="46"/>
      <c r="M30" s="46"/>
      <c r="N30" s="46"/>
      <c r="U30" s="75"/>
      <c r="V30" s="75"/>
      <c r="W30" s="75"/>
      <c r="X30" s="46"/>
      <c r="Y30" s="46"/>
      <c r="Z30" s="46"/>
      <c r="AA30" s="46"/>
    </row>
    <row r="31" spans="1:43" s="47" customFormat="1" ht="21" hidden="1" thickBot="1" x14ac:dyDescent="0.25">
      <c r="A31" s="183" t="s">
        <v>33</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5"/>
    </row>
    <row r="32" spans="1:43" s="47" customFormat="1" hidden="1" x14ac:dyDescent="0.2">
      <c r="A32" s="48"/>
      <c r="B32" s="73"/>
      <c r="E32" s="73"/>
      <c r="I32" s="74"/>
      <c r="J32" s="74"/>
      <c r="K32" s="74"/>
      <c r="L32" s="46"/>
      <c r="M32" s="46"/>
      <c r="N32" s="46"/>
      <c r="U32" s="75"/>
      <c r="V32" s="75"/>
      <c r="W32" s="75"/>
      <c r="X32" s="46"/>
      <c r="Y32" s="46"/>
      <c r="Z32" s="46"/>
      <c r="AA32" s="46"/>
    </row>
    <row r="33" spans="1:33" s="47" customFormat="1" hidden="1" x14ac:dyDescent="0.2">
      <c r="A33" s="51" t="s">
        <v>34</v>
      </c>
      <c r="B33" s="52">
        <f>+B20</f>
        <v>32748.230000000003</v>
      </c>
      <c r="C33" s="52">
        <f t="shared" ref="C33:AG33" si="39">+C20</f>
        <v>64377.859999999993</v>
      </c>
      <c r="D33" s="52">
        <f t="shared" si="39"/>
        <v>66051.59</v>
      </c>
      <c r="E33" s="53">
        <f t="shared" si="39"/>
        <v>18102.049999999996</v>
      </c>
      <c r="F33" s="53">
        <f t="shared" si="39"/>
        <v>31416.03</v>
      </c>
      <c r="G33" s="53">
        <f t="shared" si="39"/>
        <v>31156.240000000002</v>
      </c>
      <c r="H33" s="54">
        <f t="shared" si="39"/>
        <v>5946.58</v>
      </c>
      <c r="I33" s="55">
        <f t="shared" si="39"/>
        <v>423548.40105379489</v>
      </c>
      <c r="J33" s="55">
        <f t="shared" si="39"/>
        <v>735153.30245944299</v>
      </c>
      <c r="K33" s="55">
        <f t="shared" si="39"/>
        <v>728264.80370142905</v>
      </c>
      <c r="L33" s="56">
        <f t="shared" si="39"/>
        <v>12.933474604697562</v>
      </c>
      <c r="M33" s="56">
        <f t="shared" si="39"/>
        <v>11.419349796023711</v>
      </c>
      <c r="N33" s="56">
        <f t="shared" si="39"/>
        <v>11.025696787941502</v>
      </c>
      <c r="O33" s="57">
        <f t="shared" si="39"/>
        <v>1089</v>
      </c>
      <c r="P33" s="57">
        <f t="shared" si="39"/>
        <v>1008</v>
      </c>
      <c r="Q33" s="57">
        <f t="shared" si="39"/>
        <v>1036</v>
      </c>
      <c r="R33" s="58">
        <f t="shared" si="39"/>
        <v>30.071836547291095</v>
      </c>
      <c r="S33" s="58">
        <f t="shared" si="39"/>
        <v>63.866924603174596</v>
      </c>
      <c r="T33" s="58">
        <f t="shared" si="39"/>
        <v>63.756361003861002</v>
      </c>
      <c r="U33" s="59">
        <f t="shared" si="39"/>
        <v>36</v>
      </c>
      <c r="V33" s="60">
        <f t="shared" si="39"/>
        <v>72</v>
      </c>
      <c r="W33" s="60">
        <f t="shared" si="39"/>
        <v>70</v>
      </c>
      <c r="X33" s="59">
        <f t="shared" si="39"/>
        <v>178</v>
      </c>
      <c r="Y33" s="61">
        <f>+Y20</f>
        <v>12.71946790405477</v>
      </c>
      <c r="Z33" s="61">
        <f t="shared" si="39"/>
        <v>11.234728984515774</v>
      </c>
      <c r="AA33" s="61">
        <f t="shared" si="39"/>
        <v>10.901448371918336</v>
      </c>
      <c r="AC33" s="62">
        <f t="shared" si="39"/>
        <v>11.570769922689465</v>
      </c>
      <c r="AD33" s="62">
        <f t="shared" si="39"/>
        <v>29.489308168759226</v>
      </c>
      <c r="AF33" s="63">
        <f t="shared" si="39"/>
        <v>11.403947850929164</v>
      </c>
      <c r="AG33" s="63">
        <f t="shared" si="39"/>
        <v>29.920691015103053</v>
      </c>
    </row>
    <row r="34" spans="1:33" s="47" customFormat="1" hidden="1" x14ac:dyDescent="0.2">
      <c r="A34" s="51" t="s">
        <v>35</v>
      </c>
      <c r="B34" s="52">
        <f>+B23</f>
        <v>34371.040000000001</v>
      </c>
      <c r="C34" s="52">
        <f t="shared" ref="C34:AG34" si="40">+C23</f>
        <v>67451.609999999986</v>
      </c>
      <c r="D34" s="52">
        <f t="shared" si="40"/>
        <v>68548.160000000003</v>
      </c>
      <c r="E34" s="53">
        <f t="shared" si="40"/>
        <v>18751.179999999997</v>
      </c>
      <c r="F34" s="53">
        <f t="shared" si="40"/>
        <v>32382.12</v>
      </c>
      <c r="G34" s="53">
        <f t="shared" si="40"/>
        <v>31918.920000000002</v>
      </c>
      <c r="H34" s="54">
        <f t="shared" si="40"/>
        <v>6350.59</v>
      </c>
      <c r="I34" s="55">
        <f t="shared" si="40"/>
        <v>439914.16424599389</v>
      </c>
      <c r="J34" s="55">
        <f t="shared" si="40"/>
        <v>759510.21118704998</v>
      </c>
      <c r="K34" s="55">
        <f t="shared" si="40"/>
        <v>747493.3715867931</v>
      </c>
      <c r="L34" s="56">
        <f t="shared" si="40"/>
        <v>12.798977402080178</v>
      </c>
      <c r="M34" s="56">
        <f t="shared" si="40"/>
        <v>11.260075351604655</v>
      </c>
      <c r="N34" s="56">
        <f t="shared" si="40"/>
        <v>10.90464531194992</v>
      </c>
      <c r="O34" s="57">
        <f t="shared" si="40"/>
        <v>1142</v>
      </c>
      <c r="P34" s="57">
        <f t="shared" si="40"/>
        <v>1060</v>
      </c>
      <c r="Q34" s="57">
        <f t="shared" si="40"/>
        <v>1086</v>
      </c>
      <c r="R34" s="58">
        <f t="shared" si="40"/>
        <v>30.097232924693522</v>
      </c>
      <c r="S34" s="58">
        <f t="shared" si="40"/>
        <v>63.633594339622626</v>
      </c>
      <c r="T34" s="58">
        <f t="shared" si="40"/>
        <v>63.119852670349914</v>
      </c>
      <c r="U34" s="59">
        <f t="shared" si="40"/>
        <v>36</v>
      </c>
      <c r="V34" s="60">
        <f t="shared" si="40"/>
        <v>72</v>
      </c>
      <c r="W34" s="60">
        <f t="shared" si="40"/>
        <v>70</v>
      </c>
      <c r="X34" s="59">
        <f t="shared" si="40"/>
        <v>178</v>
      </c>
      <c r="Y34" s="61">
        <f t="shared" si="40"/>
        <v>12.585887510661614</v>
      </c>
      <c r="Z34" s="61">
        <f t="shared" si="40"/>
        <v>11.070157943114088</v>
      </c>
      <c r="AA34" s="61">
        <f t="shared" si="40"/>
        <v>10.767730380089883</v>
      </c>
      <c r="AC34" s="62">
        <f t="shared" si="40"/>
        <v>11.431538110263574</v>
      </c>
      <c r="AD34" s="62">
        <f t="shared" si="40"/>
        <v>29.84847679365631</v>
      </c>
      <c r="AF34" s="63">
        <f t="shared" si="40"/>
        <v>11.257777802777102</v>
      </c>
      <c r="AG34" s="63">
        <f t="shared" si="40"/>
        <v>30.309178772015581</v>
      </c>
    </row>
    <row r="35" spans="1:33" s="47" customFormat="1" hidden="1" x14ac:dyDescent="0.2">
      <c r="A35" s="51" t="s">
        <v>36</v>
      </c>
      <c r="B35" s="52">
        <f>+B26</f>
        <v>34371.040000000001</v>
      </c>
      <c r="C35" s="52">
        <f t="shared" ref="C35:AG35" si="41">+C26</f>
        <v>67451.609999999986</v>
      </c>
      <c r="D35" s="52">
        <f t="shared" si="41"/>
        <v>70690.820000000007</v>
      </c>
      <c r="E35" s="53">
        <f t="shared" si="41"/>
        <v>18751.179999999997</v>
      </c>
      <c r="F35" s="53">
        <f t="shared" si="41"/>
        <v>32382.12</v>
      </c>
      <c r="G35" s="53">
        <f t="shared" si="41"/>
        <v>33201</v>
      </c>
      <c r="H35" s="54">
        <f t="shared" si="41"/>
        <v>6129.39</v>
      </c>
      <c r="I35" s="55">
        <f t="shared" si="41"/>
        <v>439914.16424599389</v>
      </c>
      <c r="J35" s="55">
        <f t="shared" si="41"/>
        <v>759510.21118704998</v>
      </c>
      <c r="K35" s="55">
        <f t="shared" si="41"/>
        <v>778691.09386165708</v>
      </c>
      <c r="L35" s="56">
        <f t="shared" si="41"/>
        <v>12.798977402080178</v>
      </c>
      <c r="M35" s="56">
        <f t="shared" si="41"/>
        <v>11.260075351604655</v>
      </c>
      <c r="N35" s="56">
        <f t="shared" si="41"/>
        <v>11.015448595187564</v>
      </c>
      <c r="O35" s="57">
        <f t="shared" si="41"/>
        <v>1142</v>
      </c>
      <c r="P35" s="57">
        <f t="shared" si="41"/>
        <v>1060</v>
      </c>
      <c r="Q35" s="57">
        <f t="shared" si="41"/>
        <v>1122</v>
      </c>
      <c r="R35" s="58">
        <f t="shared" si="41"/>
        <v>30.097232924693522</v>
      </c>
      <c r="S35" s="58">
        <f t="shared" si="41"/>
        <v>63.633594339622626</v>
      </c>
      <c r="T35" s="58">
        <f t="shared" si="41"/>
        <v>63.004295900178256</v>
      </c>
      <c r="U35" s="59">
        <f t="shared" si="41"/>
        <v>36</v>
      </c>
      <c r="V35" s="60">
        <f t="shared" si="41"/>
        <v>72</v>
      </c>
      <c r="W35" s="60">
        <f t="shared" si="41"/>
        <v>70</v>
      </c>
      <c r="X35" s="59">
        <f t="shared" si="41"/>
        <v>178</v>
      </c>
      <c r="Y35" s="61">
        <f t="shared" si="41"/>
        <v>12.585887510661614</v>
      </c>
      <c r="Z35" s="61">
        <f t="shared" si="41"/>
        <v>11.070157943114088</v>
      </c>
      <c r="AA35" s="61">
        <f t="shared" si="41"/>
        <v>10.876234083601112</v>
      </c>
      <c r="AC35" s="62">
        <f t="shared" si="41"/>
        <v>11.47511243513231</v>
      </c>
      <c r="AD35" s="62">
        <f t="shared" si="41"/>
        <v>29.735133483776256</v>
      </c>
      <c r="AF35" s="63">
        <f t="shared" si="41"/>
        <v>11.300447798539945</v>
      </c>
      <c r="AG35" s="63">
        <f t="shared" si="41"/>
        <v>30.19473264095658</v>
      </c>
    </row>
    <row r="36" spans="1:33" s="47" customFormat="1" hidden="1" x14ac:dyDescent="0.2">
      <c r="A36" s="51" t="s">
        <v>37</v>
      </c>
      <c r="B36" s="52">
        <f>B29</f>
        <v>0</v>
      </c>
      <c r="C36" s="52">
        <f t="shared" ref="C36:AG36" si="42">C29</f>
        <v>0</v>
      </c>
      <c r="D36" s="52">
        <f t="shared" si="42"/>
        <v>0</v>
      </c>
      <c r="E36" s="53">
        <f t="shared" si="42"/>
        <v>0</v>
      </c>
      <c r="F36" s="53">
        <f t="shared" si="42"/>
        <v>0</v>
      </c>
      <c r="G36" s="53">
        <f t="shared" si="42"/>
        <v>0</v>
      </c>
      <c r="H36" s="54">
        <f t="shared" si="42"/>
        <v>0</v>
      </c>
      <c r="I36" s="55">
        <f t="shared" si="42"/>
        <v>0</v>
      </c>
      <c r="J36" s="55">
        <f t="shared" si="42"/>
        <v>0</v>
      </c>
      <c r="K36" s="55">
        <f t="shared" si="42"/>
        <v>0</v>
      </c>
      <c r="L36" s="56">
        <f t="shared" si="42"/>
        <v>0</v>
      </c>
      <c r="M36" s="56">
        <f t="shared" si="42"/>
        <v>0</v>
      </c>
      <c r="N36" s="56">
        <f t="shared" si="42"/>
        <v>0</v>
      </c>
      <c r="O36" s="57">
        <f t="shared" si="42"/>
        <v>0</v>
      </c>
      <c r="P36" s="57">
        <f t="shared" si="42"/>
        <v>0</v>
      </c>
      <c r="Q36" s="57">
        <f t="shared" si="42"/>
        <v>0</v>
      </c>
      <c r="R36" s="58">
        <f t="shared" si="42"/>
        <v>0</v>
      </c>
      <c r="S36" s="58">
        <f t="shared" si="42"/>
        <v>0</v>
      </c>
      <c r="T36" s="58">
        <f t="shared" si="42"/>
        <v>0</v>
      </c>
      <c r="U36" s="59">
        <f t="shared" si="42"/>
        <v>0</v>
      </c>
      <c r="V36" s="60">
        <f t="shared" si="42"/>
        <v>0</v>
      </c>
      <c r="W36" s="60">
        <f t="shared" si="42"/>
        <v>0</v>
      </c>
      <c r="X36" s="59">
        <f t="shared" si="42"/>
        <v>0</v>
      </c>
      <c r="Y36" s="61">
        <f t="shared" si="42"/>
        <v>0</v>
      </c>
      <c r="Z36" s="61">
        <f t="shared" si="42"/>
        <v>0</v>
      </c>
      <c r="AA36" s="61">
        <f t="shared" si="42"/>
        <v>0</v>
      </c>
      <c r="AC36" s="62">
        <f t="shared" si="42"/>
        <v>0</v>
      </c>
      <c r="AD36" s="62">
        <f t="shared" si="42"/>
        <v>0</v>
      </c>
      <c r="AF36" s="63">
        <f t="shared" si="42"/>
        <v>0</v>
      </c>
      <c r="AG36" s="63">
        <f t="shared" si="42"/>
        <v>0</v>
      </c>
    </row>
    <row r="37" spans="1:33" s="47" customFormat="1" hidden="1" x14ac:dyDescent="0.2">
      <c r="A37" s="48"/>
      <c r="B37" s="73"/>
      <c r="E37" s="73"/>
      <c r="I37" s="74"/>
      <c r="J37" s="74"/>
      <c r="K37" s="74"/>
      <c r="L37" s="46"/>
      <c r="M37" s="46"/>
      <c r="N37" s="46"/>
      <c r="U37" s="75"/>
      <c r="V37" s="75"/>
      <c r="W37" s="75"/>
      <c r="X37" s="46"/>
      <c r="Y37" s="46"/>
      <c r="Z37" s="46"/>
      <c r="AA37" s="46"/>
    </row>
    <row r="38" spans="1:33" s="47" customFormat="1" hidden="1" x14ac:dyDescent="0.2">
      <c r="A38" s="48"/>
      <c r="B38" s="73"/>
      <c r="E38" s="73"/>
      <c r="I38" s="74"/>
      <c r="J38" s="74"/>
      <c r="K38" s="74"/>
      <c r="L38" s="46"/>
      <c r="M38" s="46"/>
      <c r="N38" s="46"/>
      <c r="U38" s="75"/>
      <c r="V38" s="75"/>
      <c r="W38" s="75"/>
      <c r="X38" s="46"/>
      <c r="Y38" s="46"/>
      <c r="Z38" s="46"/>
      <c r="AA38" s="46"/>
    </row>
    <row r="39" spans="1:33" s="47" customFormat="1" hidden="1" x14ac:dyDescent="0.2">
      <c r="A39" s="48"/>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row>
    <row r="40" spans="1:33" s="47" customFormat="1" hidden="1" x14ac:dyDescent="0.2">
      <c r="A40" s="48"/>
      <c r="B40" s="73"/>
      <c r="E40" s="73"/>
      <c r="I40" s="74"/>
      <c r="J40" s="74"/>
      <c r="K40" s="74"/>
      <c r="L40" s="46"/>
      <c r="M40" s="46"/>
      <c r="N40" s="46"/>
      <c r="U40" s="75"/>
      <c r="V40" s="75"/>
      <c r="W40" s="75"/>
      <c r="X40" s="46"/>
      <c r="Y40" s="46"/>
      <c r="Z40" s="46"/>
      <c r="AA40" s="46"/>
    </row>
    <row r="41" spans="1:33" s="47" customFormat="1" ht="51" hidden="1" customHeight="1" x14ac:dyDescent="0.2">
      <c r="A41" s="48"/>
      <c r="B41" s="73"/>
      <c r="E41" s="73"/>
      <c r="I41" s="74"/>
      <c r="J41" s="74"/>
      <c r="K41" s="74"/>
      <c r="L41" s="46"/>
      <c r="M41" s="77"/>
      <c r="N41" s="78" t="s">
        <v>38</v>
      </c>
      <c r="O41" s="79" t="s">
        <v>39</v>
      </c>
      <c r="P41" s="79" t="s">
        <v>40</v>
      </c>
      <c r="Q41" s="79" t="s">
        <v>41</v>
      </c>
      <c r="R41" s="80" t="s">
        <v>42</v>
      </c>
      <c r="S41" s="80" t="s">
        <v>43</v>
      </c>
      <c r="U41" s="75"/>
      <c r="V41" s="75"/>
      <c r="W41" s="75"/>
      <c r="X41" s="46"/>
      <c r="Y41" s="46"/>
      <c r="Z41" s="46"/>
      <c r="AA41" s="46"/>
    </row>
    <row r="42" spans="1:33" s="47" customFormat="1" hidden="1" x14ac:dyDescent="0.2">
      <c r="A42" s="48"/>
      <c r="B42" s="73"/>
      <c r="C42" s="81"/>
      <c r="D42" s="81"/>
      <c r="E42" s="73"/>
      <c r="F42" s="81"/>
      <c r="G42" s="81"/>
      <c r="H42" s="81"/>
      <c r="I42" s="82"/>
      <c r="J42" s="82"/>
      <c r="K42" s="82"/>
      <c r="L42" s="81"/>
      <c r="M42" s="83" t="s">
        <v>44</v>
      </c>
      <c r="N42" s="84">
        <f>(31+28+31)*24</f>
        <v>2160</v>
      </c>
      <c r="O42" s="85">
        <f>SUM(O3:O5)</f>
        <v>1089</v>
      </c>
      <c r="P42" s="85">
        <f>SUM(P3:P5)</f>
        <v>1008</v>
      </c>
      <c r="Q42" s="85">
        <f>SUM(Q3:Q5)</f>
        <v>1036</v>
      </c>
      <c r="R42" s="86">
        <f>(O42+P42+Q42)/(3*N42)</f>
        <v>0.48348765432098767</v>
      </c>
      <c r="S42" s="86">
        <f t="shared" ref="S42:S47" si="43">1-R42</f>
        <v>0.51651234567901239</v>
      </c>
      <c r="T42" s="81"/>
      <c r="U42" s="87"/>
      <c r="V42" s="87"/>
      <c r="W42" s="87"/>
      <c r="X42" s="81"/>
      <c r="Y42" s="81"/>
      <c r="Z42" s="81"/>
      <c r="AA42" s="81"/>
      <c r="AB42" s="81"/>
      <c r="AC42" s="81"/>
      <c r="AD42" s="81"/>
      <c r="AE42" s="81"/>
      <c r="AF42" s="81"/>
      <c r="AG42" s="81"/>
    </row>
    <row r="43" spans="1:33" s="47" customFormat="1" hidden="1" x14ac:dyDescent="0.2">
      <c r="A43" s="48"/>
      <c r="B43" s="73"/>
      <c r="C43" s="73"/>
      <c r="D43" s="73"/>
      <c r="E43" s="73"/>
      <c r="F43" s="73"/>
      <c r="G43" s="73"/>
      <c r="H43" s="73"/>
      <c r="I43" s="73"/>
      <c r="J43" s="73"/>
      <c r="K43" s="73"/>
      <c r="L43" s="73"/>
      <c r="M43" s="83" t="s">
        <v>45</v>
      </c>
      <c r="N43" s="84">
        <f>(30+31+30)*24</f>
        <v>2184</v>
      </c>
      <c r="O43" s="85">
        <f>SUM(O6:O8)</f>
        <v>53</v>
      </c>
      <c r="P43" s="85">
        <f>SUM(P6:P8)</f>
        <v>52</v>
      </c>
      <c r="Q43" s="85">
        <f>SUM(Q6:Q8)</f>
        <v>50</v>
      </c>
      <c r="R43" s="86">
        <f t="shared" ref="R43:R45" si="44">(O43+P43+Q43)/(3*N43)</f>
        <v>2.3656898656898656E-2</v>
      </c>
      <c r="S43" s="86">
        <f t="shared" si="43"/>
        <v>0.97634310134310132</v>
      </c>
      <c r="T43" s="73"/>
      <c r="U43" s="73"/>
      <c r="V43" s="73"/>
      <c r="W43" s="73"/>
      <c r="X43" s="73"/>
      <c r="Y43" s="73"/>
      <c r="Z43" s="73"/>
      <c r="AA43" s="73"/>
      <c r="AB43" s="73"/>
      <c r="AC43" s="73"/>
      <c r="AD43" s="73"/>
      <c r="AE43" s="73"/>
      <c r="AF43" s="73"/>
      <c r="AG43" s="73"/>
    </row>
    <row r="44" spans="1:33" s="47" customFormat="1" hidden="1" x14ac:dyDescent="0.2">
      <c r="A44" s="48"/>
      <c r="B44" s="73"/>
      <c r="C44" s="73"/>
      <c r="D44" s="73"/>
      <c r="E44" s="73"/>
      <c r="F44" s="73"/>
      <c r="G44" s="73"/>
      <c r="H44" s="73"/>
      <c r="I44" s="73"/>
      <c r="J44" s="73"/>
      <c r="K44" s="73"/>
      <c r="L44" s="73"/>
      <c r="M44" s="88" t="s">
        <v>46</v>
      </c>
      <c r="N44" s="84">
        <f>(31+28+31+30+31+30)*24</f>
        <v>4344</v>
      </c>
      <c r="O44" s="85">
        <f>SUM(O3:O8)</f>
        <v>1142</v>
      </c>
      <c r="P44" s="85">
        <f>SUM(P3:P8)</f>
        <v>1060</v>
      </c>
      <c r="Q44" s="85">
        <f>SUM(Q3:Q8)</f>
        <v>1086</v>
      </c>
      <c r="R44" s="86">
        <f t="shared" si="44"/>
        <v>0.25230202578268879</v>
      </c>
      <c r="S44" s="86">
        <f>1-R44</f>
        <v>0.74769797421731121</v>
      </c>
      <c r="T44" s="73"/>
      <c r="U44" s="73"/>
      <c r="V44" s="73"/>
      <c r="W44" s="73"/>
      <c r="X44" s="73"/>
      <c r="Y44" s="73"/>
      <c r="Z44" s="73"/>
      <c r="AA44" s="73"/>
      <c r="AB44" s="73"/>
      <c r="AC44" s="73"/>
      <c r="AD44" s="73"/>
      <c r="AE44" s="73"/>
      <c r="AF44" s="73"/>
      <c r="AG44" s="73"/>
    </row>
    <row r="45" spans="1:33" s="47" customFormat="1" hidden="1" x14ac:dyDescent="0.2">
      <c r="A45" s="48"/>
      <c r="B45" s="73"/>
      <c r="C45" s="73"/>
      <c r="D45" s="73"/>
      <c r="E45" s="73"/>
      <c r="F45" s="73"/>
      <c r="G45" s="73"/>
      <c r="H45" s="73"/>
      <c r="I45" s="73"/>
      <c r="J45" s="73"/>
      <c r="K45" s="73"/>
      <c r="L45" s="73"/>
      <c r="M45" s="88" t="s">
        <v>47</v>
      </c>
      <c r="N45" s="84">
        <f>(31+31+30)*24</f>
        <v>2208</v>
      </c>
      <c r="O45" s="85">
        <f>SUM(O9:O11)</f>
        <v>0</v>
      </c>
      <c r="P45" s="85">
        <f>SUM(P9:P11)</f>
        <v>0</v>
      </c>
      <c r="Q45" s="85">
        <f>SUM(Q9:Q11)</f>
        <v>36</v>
      </c>
      <c r="R45" s="86">
        <f t="shared" si="44"/>
        <v>5.434782608695652E-3</v>
      </c>
      <c r="S45" s="86">
        <f t="shared" si="43"/>
        <v>0.99456521739130432</v>
      </c>
      <c r="T45" s="73"/>
      <c r="U45" s="73"/>
      <c r="V45" s="73"/>
      <c r="W45" s="73"/>
      <c r="X45" s="73"/>
      <c r="Y45" s="73"/>
      <c r="Z45" s="73"/>
      <c r="AA45" s="73"/>
      <c r="AB45" s="73"/>
      <c r="AC45" s="73"/>
      <c r="AD45" s="73"/>
      <c r="AE45" s="73"/>
      <c r="AF45" s="89"/>
      <c r="AG45" s="73"/>
    </row>
    <row r="46" spans="1:33" s="47" customFormat="1" hidden="1" x14ac:dyDescent="0.2">
      <c r="A46" s="48"/>
      <c r="B46" s="73"/>
      <c r="C46" s="73"/>
      <c r="D46" s="73"/>
      <c r="E46" s="73"/>
      <c r="F46" s="73"/>
      <c r="G46" s="73"/>
      <c r="H46" s="73"/>
      <c r="I46" s="73"/>
      <c r="J46" s="73"/>
      <c r="K46" s="73"/>
      <c r="L46" s="73"/>
      <c r="M46" s="88" t="s">
        <v>48</v>
      </c>
      <c r="N46" s="84">
        <f>(31+30+31)*24</f>
        <v>2208</v>
      </c>
      <c r="O46" s="85">
        <f>SUM(O12:O14)</f>
        <v>0</v>
      </c>
      <c r="P46" s="85">
        <f>SUM(P12:P14)</f>
        <v>0</v>
      </c>
      <c r="Q46" s="85">
        <f>SUM(Q12:Q14)</f>
        <v>0</v>
      </c>
      <c r="R46" s="86">
        <f>(O46+P46+Q46)/(3*N46)</f>
        <v>0</v>
      </c>
      <c r="S46" s="86">
        <f>1-R46</f>
        <v>1</v>
      </c>
      <c r="T46" s="73"/>
      <c r="U46" s="73"/>
      <c r="V46" s="73"/>
      <c r="W46" s="73"/>
      <c r="X46" s="73"/>
      <c r="Y46" s="73"/>
      <c r="Z46" s="73"/>
      <c r="AA46" s="73"/>
      <c r="AB46" s="73"/>
      <c r="AC46" s="73"/>
      <c r="AD46" s="73"/>
      <c r="AE46" s="73"/>
      <c r="AF46" s="73"/>
      <c r="AG46" s="73"/>
    </row>
    <row r="47" spans="1:33" s="47" customFormat="1" ht="15" hidden="1" customHeight="1" x14ac:dyDescent="0.2">
      <c r="A47" s="90"/>
      <c r="B47" s="73"/>
      <c r="C47" s="81"/>
      <c r="D47" s="81"/>
      <c r="E47" s="73"/>
      <c r="F47" s="81"/>
      <c r="G47" s="81"/>
      <c r="H47" s="81"/>
      <c r="I47" s="82"/>
      <c r="J47" s="82"/>
      <c r="K47" s="82"/>
      <c r="L47" s="81"/>
      <c r="M47" s="91" t="s">
        <v>49</v>
      </c>
      <c r="N47" s="92">
        <f>N42+N43+N45+N46</f>
        <v>8760</v>
      </c>
      <c r="O47" s="92">
        <f>SUM(O3:O14)</f>
        <v>1142</v>
      </c>
      <c r="P47" s="92">
        <f>SUM(P3:P14)</f>
        <v>1060</v>
      </c>
      <c r="Q47" s="92">
        <f>SUM(Q3:Q14)</f>
        <v>1122</v>
      </c>
      <c r="R47" s="93">
        <f>(O47+P47+Q47)/(3*N47)</f>
        <v>0.12648401826484018</v>
      </c>
      <c r="S47" s="93">
        <f t="shared" si="43"/>
        <v>0.87351598173515987</v>
      </c>
      <c r="T47" s="81"/>
      <c r="U47" s="87"/>
      <c r="V47" s="87"/>
      <c r="W47" s="87"/>
      <c r="X47" s="81"/>
      <c r="Y47" s="81"/>
      <c r="Z47" s="81"/>
      <c r="AA47" s="81"/>
      <c r="AB47" s="81"/>
      <c r="AC47" s="81"/>
      <c r="AD47" s="81"/>
      <c r="AE47" s="81"/>
      <c r="AF47" s="81"/>
      <c r="AG47" s="81"/>
    </row>
    <row r="48" spans="1:33" s="47" customFormat="1" ht="13.5" hidden="1" customHeight="1" x14ac:dyDescent="0.2">
      <c r="A48" s="48"/>
      <c r="B48" s="73"/>
      <c r="E48" s="73"/>
      <c r="I48" s="74"/>
      <c r="J48" s="74"/>
      <c r="K48" s="74"/>
      <c r="L48" s="46"/>
      <c r="M48" s="72"/>
      <c r="N48" s="94">
        <f>365*24</f>
        <v>8760</v>
      </c>
      <c r="O48" s="71"/>
      <c r="P48" s="71"/>
      <c r="Q48" s="71"/>
      <c r="R48" s="71"/>
      <c r="S48" s="71"/>
      <c r="U48" s="75"/>
      <c r="V48" s="75"/>
      <c r="W48" s="75"/>
      <c r="X48" s="46"/>
      <c r="Y48" s="46"/>
      <c r="Z48" s="46"/>
      <c r="AA48" s="46"/>
    </row>
    <row r="49" spans="1:43" s="47" customFormat="1" hidden="1" x14ac:dyDescent="0.2">
      <c r="A49" s="48"/>
      <c r="B49" s="73"/>
      <c r="E49" s="73"/>
      <c r="I49" s="74"/>
      <c r="J49" s="74"/>
      <c r="K49" s="74"/>
      <c r="L49" s="46"/>
      <c r="M49" s="46"/>
      <c r="N49" s="46"/>
      <c r="U49" s="75"/>
      <c r="V49" s="75"/>
      <c r="W49" s="75"/>
      <c r="X49" s="46"/>
      <c r="Y49" s="46"/>
      <c r="Z49" s="46"/>
      <c r="AA49" s="46"/>
    </row>
    <row r="50" spans="1:43" s="47" customFormat="1" hidden="1" x14ac:dyDescent="0.2">
      <c r="A50" s="48"/>
      <c r="B50" s="73"/>
      <c r="E50" s="73"/>
      <c r="I50" s="74"/>
      <c r="J50" s="74"/>
      <c r="K50" s="48"/>
      <c r="L50" s="95"/>
      <c r="M50" s="95"/>
      <c r="N50" s="95"/>
      <c r="U50" s="75"/>
      <c r="V50" s="75"/>
      <c r="W50" s="75"/>
      <c r="X50" s="46"/>
      <c r="Y50" s="46"/>
      <c r="Z50" s="46"/>
      <c r="AA50" s="46"/>
    </row>
    <row r="51" spans="1:43" s="47" customFormat="1" hidden="1" x14ac:dyDescent="0.2">
      <c r="A51" s="48"/>
      <c r="B51" s="73"/>
      <c r="E51" s="73"/>
      <c r="I51" s="74"/>
      <c r="J51" s="74"/>
      <c r="K51" s="48"/>
      <c r="L51" s="96"/>
      <c r="M51" s="96"/>
      <c r="N51" s="96"/>
      <c r="O51" s="46"/>
      <c r="U51" s="75"/>
      <c r="V51" s="75"/>
      <c r="W51" s="75"/>
      <c r="X51" s="46"/>
      <c r="Y51" s="46"/>
      <c r="Z51" s="46"/>
      <c r="AA51" s="46"/>
    </row>
    <row r="52" spans="1:43" s="47" customFormat="1" hidden="1" x14ac:dyDescent="0.2">
      <c r="A52" s="48"/>
      <c r="B52" s="73"/>
      <c r="E52" s="73"/>
      <c r="I52" s="74"/>
      <c r="J52" s="74"/>
      <c r="K52" s="48"/>
      <c r="L52" s="96"/>
      <c r="M52" s="96"/>
      <c r="N52" s="96"/>
      <c r="O52" s="46"/>
      <c r="U52" s="75"/>
      <c r="V52" s="75"/>
      <c r="W52" s="75"/>
      <c r="X52" s="46"/>
      <c r="Y52" s="46"/>
      <c r="Z52" s="46"/>
      <c r="AA52" s="46"/>
    </row>
    <row r="53" spans="1:43" s="47" customFormat="1" hidden="1" x14ac:dyDescent="0.2">
      <c r="A53" s="48"/>
      <c r="B53" s="73"/>
      <c r="E53" s="73"/>
      <c r="I53" s="74"/>
      <c r="J53" s="74"/>
      <c r="K53" s="48"/>
      <c r="L53" s="96"/>
      <c r="M53" s="96"/>
      <c r="N53" s="96"/>
      <c r="O53" s="46"/>
      <c r="U53" s="75"/>
      <c r="V53" s="75"/>
      <c r="W53" s="75"/>
      <c r="X53" s="46"/>
      <c r="Y53" s="46"/>
      <c r="Z53" s="46"/>
      <c r="AA53" s="46"/>
    </row>
    <row r="54" spans="1:43" s="47" customFormat="1" hidden="1" x14ac:dyDescent="0.2">
      <c r="A54" s="48"/>
      <c r="B54" s="73"/>
      <c r="E54" s="73"/>
      <c r="I54" s="74"/>
      <c r="J54" s="74"/>
      <c r="K54" s="48"/>
      <c r="L54" s="95"/>
      <c r="M54" s="95"/>
      <c r="N54" s="95"/>
      <c r="U54" s="75"/>
      <c r="V54" s="75"/>
      <c r="W54" s="75"/>
      <c r="X54" s="46"/>
      <c r="Y54" s="46"/>
      <c r="Z54" s="46"/>
      <c r="AA54" s="46"/>
    </row>
    <row r="55" spans="1:43" s="47" customFormat="1" hidden="1" x14ac:dyDescent="0.2">
      <c r="A55" s="48"/>
      <c r="B55" s="73"/>
      <c r="E55" s="73"/>
      <c r="I55" s="74"/>
      <c r="J55" s="74"/>
      <c r="K55" s="48"/>
      <c r="L55" s="95"/>
      <c r="M55" s="95"/>
      <c r="N55" s="95"/>
      <c r="U55" s="75"/>
      <c r="V55" s="75"/>
      <c r="W55" s="75"/>
      <c r="X55" s="46"/>
      <c r="Y55" s="46"/>
      <c r="Z55" s="46"/>
      <c r="AA55" s="46"/>
    </row>
    <row r="56" spans="1:43" s="47" customFormat="1" hidden="1" x14ac:dyDescent="0.2">
      <c r="A56" s="48"/>
      <c r="B56" s="73"/>
      <c r="E56" s="73"/>
      <c r="I56" s="74"/>
      <c r="J56" s="74"/>
      <c r="K56" s="48"/>
      <c r="L56" s="96"/>
      <c r="M56" s="96"/>
      <c r="N56" s="96"/>
      <c r="O56" s="46"/>
      <c r="P56" s="46"/>
      <c r="Q56" s="46"/>
      <c r="U56" s="75"/>
      <c r="V56" s="75"/>
      <c r="W56" s="75"/>
      <c r="X56" s="46"/>
      <c r="Y56" s="46"/>
      <c r="Z56" s="46"/>
      <c r="AA56" s="46"/>
    </row>
    <row r="57" spans="1:43" s="38" customFormat="1" hidden="1" x14ac:dyDescent="0.2">
      <c r="A57" s="48"/>
      <c r="B57" s="73"/>
      <c r="C57" s="73"/>
      <c r="D57" s="73"/>
      <c r="E57" s="81"/>
      <c r="F57" s="81"/>
      <c r="G57" s="81"/>
      <c r="H57" s="46"/>
      <c r="I57" s="74"/>
      <c r="J57" s="74"/>
      <c r="K57" s="48"/>
      <c r="L57" s="96"/>
      <c r="M57" s="96"/>
      <c r="N57" s="96"/>
      <c r="O57" s="46"/>
      <c r="P57" s="44"/>
      <c r="Q57" s="44"/>
      <c r="R57" s="46"/>
      <c r="S57" s="46"/>
      <c r="T57" s="46"/>
      <c r="U57" s="97"/>
      <c r="V57" s="98"/>
      <c r="W57" s="98"/>
      <c r="X57" s="97"/>
      <c r="Y57" s="46"/>
      <c r="Z57" s="46"/>
      <c r="AA57" s="46"/>
      <c r="AB57" s="98"/>
      <c r="AC57" s="99"/>
      <c r="AD57" s="99"/>
      <c r="AE57" s="98"/>
      <c r="AF57" s="100"/>
      <c r="AG57" s="100"/>
      <c r="AH57" s="47"/>
      <c r="AI57" s="47"/>
      <c r="AJ57" s="47"/>
      <c r="AK57" s="47"/>
      <c r="AL57" s="47"/>
      <c r="AM57" s="47"/>
      <c r="AN57" s="47"/>
      <c r="AO57" s="47"/>
      <c r="AP57" s="47"/>
      <c r="AQ57" s="47"/>
    </row>
    <row r="58" spans="1:43" s="47" customFormat="1" hidden="1" x14ac:dyDescent="0.2">
      <c r="A58" s="48"/>
      <c r="B58" s="73"/>
      <c r="E58" s="73"/>
      <c r="I58" s="74"/>
      <c r="J58" s="74"/>
      <c r="K58" s="48"/>
      <c r="L58" s="96"/>
      <c r="M58" s="96"/>
      <c r="N58" s="96"/>
      <c r="O58" s="46"/>
      <c r="P58" s="46"/>
      <c r="Q58" s="46"/>
      <c r="U58" s="75"/>
      <c r="V58" s="75"/>
      <c r="W58" s="75"/>
      <c r="X58" s="46"/>
      <c r="Y58" s="46"/>
      <c r="Z58" s="46"/>
      <c r="AA58" s="46"/>
    </row>
    <row r="59" spans="1:43" s="47" customFormat="1" hidden="1" x14ac:dyDescent="0.2">
      <c r="A59" s="101"/>
      <c r="B59" s="73"/>
      <c r="C59" s="73"/>
      <c r="D59" s="73"/>
      <c r="E59" s="73"/>
      <c r="F59" s="73"/>
      <c r="G59" s="73"/>
      <c r="H59" s="46"/>
      <c r="I59" s="73"/>
      <c r="J59" s="73"/>
      <c r="K59" s="48"/>
      <c r="L59" s="44"/>
      <c r="M59" s="44"/>
      <c r="N59" s="44"/>
      <c r="O59" s="99"/>
      <c r="P59" s="99"/>
      <c r="Q59" s="99"/>
      <c r="R59" s="46"/>
      <c r="S59" s="46"/>
      <c r="T59" s="46"/>
      <c r="U59" s="97"/>
      <c r="V59" s="98"/>
      <c r="W59" s="98"/>
      <c r="X59" s="97"/>
      <c r="Y59" s="46"/>
      <c r="Z59" s="46"/>
      <c r="AA59" s="46"/>
      <c r="AC59" s="99"/>
      <c r="AD59" s="99"/>
      <c r="AF59" s="100"/>
      <c r="AG59" s="100"/>
    </row>
    <row r="60" spans="1:43" s="47" customFormat="1" hidden="1" x14ac:dyDescent="0.2">
      <c r="A60" s="48"/>
      <c r="B60" s="73"/>
      <c r="E60" s="73"/>
      <c r="I60" s="74"/>
      <c r="J60" s="74"/>
      <c r="K60" s="48"/>
      <c r="L60" s="46"/>
      <c r="M60" s="46"/>
      <c r="N60" s="46"/>
      <c r="O60" s="46"/>
      <c r="P60" s="46"/>
      <c r="Q60" s="46"/>
      <c r="U60" s="75"/>
      <c r="V60" s="75"/>
      <c r="W60" s="75"/>
      <c r="X60" s="46"/>
      <c r="Y60" s="46"/>
      <c r="Z60" s="46"/>
      <c r="AA60" s="46"/>
    </row>
    <row r="61" spans="1:43" s="47" customFormat="1" hidden="1" x14ac:dyDescent="0.2">
      <c r="A61" s="48"/>
      <c r="B61" s="73"/>
      <c r="E61" s="73"/>
      <c r="I61" s="74"/>
      <c r="J61" s="74"/>
      <c r="K61" s="48"/>
      <c r="L61" s="46"/>
      <c r="M61" s="46"/>
      <c r="N61" s="46"/>
      <c r="O61" s="46"/>
      <c r="P61" s="46"/>
      <c r="Q61" s="46"/>
      <c r="U61" s="75"/>
      <c r="V61" s="75"/>
      <c r="W61" s="75"/>
      <c r="X61" s="46"/>
      <c r="Y61" s="46"/>
      <c r="Z61" s="46"/>
      <c r="AA61" s="46"/>
    </row>
    <row r="62" spans="1:43" s="47" customFormat="1" hidden="1" x14ac:dyDescent="0.2">
      <c r="A62" s="48"/>
      <c r="B62" s="73"/>
      <c r="E62" s="73"/>
      <c r="I62" s="74"/>
      <c r="J62" s="74"/>
      <c r="K62" s="74"/>
      <c r="L62" s="46"/>
      <c r="M62" s="46"/>
      <c r="N62" s="46"/>
      <c r="O62" s="46"/>
      <c r="P62" s="46"/>
      <c r="Q62" s="46"/>
      <c r="U62" s="75"/>
      <c r="V62" s="75"/>
      <c r="W62" s="75"/>
      <c r="X62" s="46"/>
      <c r="Y62" s="46"/>
      <c r="Z62" s="46"/>
      <c r="AA62" s="46"/>
    </row>
    <row r="63" spans="1:43" s="47" customFormat="1" hidden="1" x14ac:dyDescent="0.2">
      <c r="A63" s="48"/>
      <c r="B63" s="73"/>
      <c r="E63" s="73"/>
      <c r="I63" s="74"/>
      <c r="J63" s="74"/>
      <c r="K63" s="74"/>
      <c r="L63" s="46"/>
      <c r="M63" s="46"/>
      <c r="N63" s="46"/>
      <c r="U63" s="75"/>
      <c r="V63" s="75"/>
      <c r="W63" s="75"/>
      <c r="X63" s="46"/>
      <c r="Y63" s="46"/>
      <c r="Z63" s="46"/>
      <c r="AA63" s="46"/>
    </row>
    <row r="64" spans="1:43" s="47" customFormat="1" hidden="1" x14ac:dyDescent="0.2">
      <c r="A64" s="48"/>
      <c r="D64"/>
      <c r="E64"/>
      <c r="F64" s="186">
        <v>2021</v>
      </c>
      <c r="G64" s="187"/>
      <c r="H64" s="187"/>
      <c r="I64" s="187"/>
      <c r="J64" s="188"/>
      <c r="K64" s="18"/>
      <c r="L64" s="186">
        <v>2022</v>
      </c>
      <c r="M64" s="187"/>
      <c r="N64" s="187"/>
      <c r="O64" s="187"/>
      <c r="P64" s="187"/>
      <c r="Q64" s="188"/>
      <c r="R64" s="102" t="s">
        <v>50</v>
      </c>
      <c r="S64" s="102" t="s">
        <v>50</v>
      </c>
      <c r="T64" s="102" t="s">
        <v>50</v>
      </c>
      <c r="V64" s="75"/>
      <c r="W64" s="75"/>
      <c r="X64" s="75"/>
      <c r="Y64" s="46"/>
      <c r="Z64" s="46"/>
      <c r="AA64" s="46"/>
      <c r="AB64" s="46"/>
      <c r="AE64" s="46"/>
    </row>
    <row r="65" spans="1:25" s="47" customFormat="1" ht="102" hidden="1" x14ac:dyDescent="0.2">
      <c r="A65" s="48"/>
      <c r="B65" s="103"/>
      <c r="C65" s="103"/>
      <c r="D65" s="104"/>
      <c r="E65" s="104"/>
      <c r="F65" s="105" t="s">
        <v>51</v>
      </c>
      <c r="G65" s="106" t="s">
        <v>52</v>
      </c>
      <c r="H65" s="106" t="s">
        <v>53</v>
      </c>
      <c r="I65" s="106" t="s">
        <v>54</v>
      </c>
      <c r="J65" s="106" t="s">
        <v>55</v>
      </c>
      <c r="K65" s="107"/>
      <c r="L65" s="105" t="s">
        <v>51</v>
      </c>
      <c r="M65" s="106" t="s">
        <v>56</v>
      </c>
      <c r="N65" s="106" t="s">
        <v>53</v>
      </c>
      <c r="O65" s="106" t="s">
        <v>54</v>
      </c>
      <c r="P65" s="106" t="s">
        <v>57</v>
      </c>
      <c r="Q65" s="106" t="s">
        <v>55</v>
      </c>
      <c r="R65" s="108" t="s">
        <v>58</v>
      </c>
      <c r="S65" s="108" t="s">
        <v>59</v>
      </c>
      <c r="T65" s="108" t="s">
        <v>60</v>
      </c>
      <c r="U65" s="46"/>
      <c r="V65" s="109"/>
      <c r="W65" s="109"/>
      <c r="X65" s="109"/>
    </row>
    <row r="66" spans="1:25" s="47" customFormat="1" hidden="1" x14ac:dyDescent="0.2">
      <c r="A66" s="48"/>
      <c r="B66" s="103"/>
      <c r="C66" s="103"/>
      <c r="D66" s="110"/>
      <c r="E66" s="111"/>
      <c r="F66" s="112">
        <v>44197</v>
      </c>
      <c r="G66" s="113">
        <v>12.042424147101887</v>
      </c>
      <c r="H66" s="113">
        <f>+N66</f>
        <v>5947.08</v>
      </c>
      <c r="I66" s="114">
        <f>+ROUND(H66*(3.97/1000),2)</f>
        <v>23.61</v>
      </c>
      <c r="J66" s="113">
        <f>+ROUND(G66*P66/I66,2)</f>
        <v>35341.35</v>
      </c>
      <c r="K66" s="113"/>
      <c r="L66" s="115">
        <v>44562</v>
      </c>
      <c r="M66" s="113">
        <f>AC3</f>
        <v>11.629030473870309</v>
      </c>
      <c r="N66" s="113">
        <f t="shared" ref="N66:N77" si="45">+H3</f>
        <v>5947.08</v>
      </c>
      <c r="O66" s="114">
        <f>+ROUND(N66*(3.97/1000),2)</f>
        <v>23.61</v>
      </c>
      <c r="P66" s="116">
        <f t="shared" ref="P66:P77" si="46">+B3+C3+D3</f>
        <v>69289.150000000009</v>
      </c>
      <c r="Q66" s="116">
        <f>+E3+F3+G3</f>
        <v>34335.449999999997</v>
      </c>
      <c r="R66" s="117">
        <f>+J66-Q66</f>
        <v>1005.9000000000015</v>
      </c>
      <c r="S66" s="118">
        <f>+R66/J66</f>
        <v>2.8462410179577222E-2</v>
      </c>
      <c r="T66" s="119">
        <f>(SUM(R$66)/SUM(J$66))</f>
        <v>2.8462410179577222E-2</v>
      </c>
      <c r="V66" s="109"/>
      <c r="W66" s="109"/>
      <c r="X66" s="109"/>
      <c r="Y66" s="103"/>
    </row>
    <row r="67" spans="1:25" s="47" customFormat="1" hidden="1" x14ac:dyDescent="0.2">
      <c r="A67" s="48"/>
      <c r="B67" s="103"/>
      <c r="C67" s="103"/>
      <c r="D67" s="110"/>
      <c r="E67" s="111"/>
      <c r="F67" s="112">
        <v>44228</v>
      </c>
      <c r="G67" s="113">
        <v>11.807151378370696</v>
      </c>
      <c r="H67" s="113">
        <f t="shared" ref="H67:H70" si="47">+N67</f>
        <v>5835.53</v>
      </c>
      <c r="I67" s="114">
        <f t="shared" ref="I67:I70" si="48">+ROUND(H67*(3.97/1000),2)</f>
        <v>23.17</v>
      </c>
      <c r="J67" s="113">
        <f t="shared" ref="J67:J68" si="49">+ROUND(G67*P67/I67,2)</f>
        <v>41614</v>
      </c>
      <c r="K67" s="113"/>
      <c r="L67" s="115">
        <v>44593</v>
      </c>
      <c r="M67" s="113">
        <f>AC4</f>
        <v>11.384796941333224</v>
      </c>
      <c r="N67" s="113">
        <f t="shared" si="45"/>
        <v>5835.53</v>
      </c>
      <c r="O67" s="114">
        <f t="shared" ref="O67:O77" si="50">+ROUND(N67*(3.97/1000),2)</f>
        <v>23.17</v>
      </c>
      <c r="P67" s="116">
        <f t="shared" si="46"/>
        <v>81662.070000000007</v>
      </c>
      <c r="Q67" s="116">
        <f>+E4+F4+G4</f>
        <v>40045.39</v>
      </c>
      <c r="R67" s="117">
        <f>+J67-Q67</f>
        <v>1568.6100000000006</v>
      </c>
      <c r="S67" s="118">
        <f t="shared" ref="S67:S68" si="51">+R67/J67</f>
        <v>3.76942855769693E-2</v>
      </c>
      <c r="T67" s="119">
        <f>(SUM(R$66:R67)/SUM(J$66:J67))</f>
        <v>3.3454594125034869E-2</v>
      </c>
      <c r="V67" s="109"/>
      <c r="W67" s="109"/>
      <c r="X67" s="109"/>
      <c r="Y67" s="103"/>
    </row>
    <row r="68" spans="1:25" s="47" customFormat="1" hidden="1" x14ac:dyDescent="0.2">
      <c r="A68" s="48"/>
      <c r="B68" s="103"/>
      <c r="C68" s="103"/>
      <c r="D68" s="110"/>
      <c r="E68" s="111"/>
      <c r="F68" s="112">
        <v>44256</v>
      </c>
      <c r="G68" s="113">
        <v>13.068534565491314</v>
      </c>
      <c r="H68" s="113">
        <f t="shared" si="47"/>
        <v>5946.58</v>
      </c>
      <c r="I68" s="114">
        <f t="shared" si="48"/>
        <v>23.61</v>
      </c>
      <c r="J68" s="113">
        <f t="shared" si="49"/>
        <v>6767.55</v>
      </c>
      <c r="K68" s="113"/>
      <c r="L68" s="115">
        <v>44621</v>
      </c>
      <c r="M68" s="113">
        <f>AC5</f>
        <v>12.814228363650376</v>
      </c>
      <c r="N68" s="113">
        <f t="shared" si="45"/>
        <v>5946.58</v>
      </c>
      <c r="O68" s="114">
        <f t="shared" si="50"/>
        <v>23.61</v>
      </c>
      <c r="P68" s="116">
        <f t="shared" si="46"/>
        <v>12226.46</v>
      </c>
      <c r="Q68" s="116">
        <f>+E5+F5+G5</f>
        <v>6293.4800000000005</v>
      </c>
      <c r="R68" s="117">
        <f t="shared" ref="R68" si="52">+J68-Q68</f>
        <v>474.06999999999971</v>
      </c>
      <c r="S68" s="118">
        <f t="shared" si="51"/>
        <v>7.0050461392970817E-2</v>
      </c>
      <c r="T68" s="119">
        <f>(SUM(R$66:R68)/SUM(J$66:J68))</f>
        <v>3.6412737733642786E-2</v>
      </c>
      <c r="V68" s="109"/>
      <c r="W68" s="109"/>
      <c r="X68" s="109"/>
    </row>
    <row r="69" spans="1:25" s="47" customFormat="1" hidden="1" x14ac:dyDescent="0.2">
      <c r="B69" s="103"/>
      <c r="C69" s="103"/>
      <c r="D69" s="110"/>
      <c r="E69" s="111"/>
      <c r="F69" s="112">
        <v>44287</v>
      </c>
      <c r="G69" s="113">
        <v>11.658816354602525</v>
      </c>
      <c r="H69" s="113">
        <f t="shared" si="47"/>
        <v>0</v>
      </c>
      <c r="I69" s="114">
        <f t="shared" si="48"/>
        <v>0</v>
      </c>
      <c r="J69" s="113"/>
      <c r="K69" s="120"/>
      <c r="L69" s="115">
        <v>44652</v>
      </c>
      <c r="M69" s="113"/>
      <c r="N69" s="113">
        <f t="shared" si="45"/>
        <v>0</v>
      </c>
      <c r="O69" s="114">
        <f t="shared" si="50"/>
        <v>0</v>
      </c>
      <c r="P69" s="116">
        <f t="shared" si="46"/>
        <v>0</v>
      </c>
      <c r="Q69" s="116">
        <f>+E6+F6+G6</f>
        <v>0</v>
      </c>
      <c r="R69" s="117"/>
      <c r="S69" s="118"/>
      <c r="T69" s="119">
        <f>(SUM(R$66:R69)/SUM(J$66:J69))</f>
        <v>3.6412737733642786E-2</v>
      </c>
      <c r="V69" s="109"/>
      <c r="W69" s="109"/>
      <c r="X69" s="109"/>
    </row>
    <row r="70" spans="1:25" s="47" customFormat="1" hidden="1" x14ac:dyDescent="0.2">
      <c r="B70" s="103"/>
      <c r="C70" s="103"/>
      <c r="D70" s="110"/>
      <c r="E70" s="111"/>
      <c r="F70" s="112">
        <v>44317</v>
      </c>
      <c r="G70" s="113">
        <v>11.299352498052951</v>
      </c>
      <c r="H70" s="113">
        <f t="shared" si="47"/>
        <v>0</v>
      </c>
      <c r="I70" s="114">
        <f t="shared" si="48"/>
        <v>0</v>
      </c>
      <c r="J70" s="113"/>
      <c r="K70" s="120"/>
      <c r="L70" s="115">
        <v>44682</v>
      </c>
      <c r="M70" s="113"/>
      <c r="N70" s="113">
        <f t="shared" si="45"/>
        <v>0</v>
      </c>
      <c r="O70" s="114">
        <f t="shared" si="50"/>
        <v>0</v>
      </c>
      <c r="P70" s="116">
        <f t="shared" si="46"/>
        <v>0</v>
      </c>
      <c r="Q70" s="116">
        <f>+E7+F7+G7</f>
        <v>0</v>
      </c>
      <c r="R70" s="117"/>
      <c r="S70" s="118"/>
      <c r="T70" s="119">
        <f>(SUM(R$66:R70)/SUM(J$66:J70))</f>
        <v>3.6412737733642786E-2</v>
      </c>
      <c r="V70" s="109"/>
      <c r="W70" s="109"/>
      <c r="X70" s="109"/>
    </row>
    <row r="71" spans="1:25" s="47" customFormat="1" hidden="1" x14ac:dyDescent="0.2">
      <c r="B71" s="103"/>
      <c r="C71" s="103"/>
      <c r="D71" s="110"/>
      <c r="E71" s="111"/>
      <c r="F71" s="112">
        <v>44348</v>
      </c>
      <c r="G71" s="121"/>
      <c r="H71" s="113"/>
      <c r="I71" s="114"/>
      <c r="J71" s="113"/>
      <c r="K71" s="120"/>
      <c r="L71" s="115">
        <v>44713</v>
      </c>
      <c r="M71" s="113"/>
      <c r="N71" s="113">
        <f t="shared" si="45"/>
        <v>6350.59</v>
      </c>
      <c r="O71" s="114">
        <f t="shared" si="50"/>
        <v>25.21</v>
      </c>
      <c r="P71" s="116">
        <f t="shared" si="46"/>
        <v>7193.1299999999992</v>
      </c>
      <c r="Q71" s="116"/>
      <c r="R71" s="117"/>
      <c r="S71" s="118"/>
      <c r="T71" s="119"/>
      <c r="V71" s="109"/>
      <c r="W71" s="109"/>
      <c r="X71" s="109"/>
    </row>
    <row r="72" spans="1:25" s="47" customFormat="1" hidden="1" x14ac:dyDescent="0.2">
      <c r="B72" s="103"/>
      <c r="C72" s="103"/>
      <c r="D72" s="110"/>
      <c r="E72" s="111"/>
      <c r="F72" s="112">
        <v>44378</v>
      </c>
      <c r="G72" s="113"/>
      <c r="H72" s="113"/>
      <c r="I72" s="114"/>
      <c r="J72" s="113"/>
      <c r="K72" s="120"/>
      <c r="L72" s="115">
        <v>44743</v>
      </c>
      <c r="M72" s="113" t="str">
        <f t="shared" ref="M72:M77" si="53">AC9</f>
        <v>F/S</v>
      </c>
      <c r="N72" s="113">
        <f t="shared" si="45"/>
        <v>0</v>
      </c>
      <c r="O72" s="114">
        <f t="shared" si="50"/>
        <v>0</v>
      </c>
      <c r="P72" s="116">
        <f t="shared" si="46"/>
        <v>0</v>
      </c>
      <c r="Q72" s="116">
        <f t="shared" ref="Q72:Q77" si="54">+E9+F9+G9</f>
        <v>0</v>
      </c>
      <c r="R72" s="117"/>
      <c r="S72" s="118"/>
      <c r="T72" s="119"/>
      <c r="V72" s="109"/>
      <c r="W72" s="109"/>
      <c r="X72" s="109"/>
    </row>
    <row r="73" spans="1:25" s="47" customFormat="1" hidden="1" x14ac:dyDescent="0.2">
      <c r="B73" s="103"/>
      <c r="C73" s="103"/>
      <c r="D73" s="110"/>
      <c r="E73" s="111"/>
      <c r="F73" s="112">
        <v>44409</v>
      </c>
      <c r="G73" s="113"/>
      <c r="H73" s="113"/>
      <c r="I73" s="114"/>
      <c r="J73" s="113"/>
      <c r="K73" s="120"/>
      <c r="L73" s="115">
        <v>44774</v>
      </c>
      <c r="M73" s="113" t="str">
        <f t="shared" si="53"/>
        <v>F/S</v>
      </c>
      <c r="N73" s="113">
        <f t="shared" si="45"/>
        <v>0</v>
      </c>
      <c r="O73" s="114">
        <f t="shared" si="50"/>
        <v>0</v>
      </c>
      <c r="P73" s="116">
        <f t="shared" si="46"/>
        <v>0</v>
      </c>
      <c r="Q73" s="116">
        <f t="shared" si="54"/>
        <v>0</v>
      </c>
      <c r="R73" s="117"/>
      <c r="S73" s="118"/>
      <c r="T73" s="119"/>
      <c r="V73" s="109"/>
      <c r="W73" s="109"/>
      <c r="X73" s="109"/>
    </row>
    <row r="74" spans="1:25" s="47" customFormat="1" hidden="1" x14ac:dyDescent="0.2">
      <c r="B74" s="103"/>
      <c r="C74" s="103"/>
      <c r="D74" s="110"/>
      <c r="E74" s="111"/>
      <c r="F74" s="112">
        <v>44440</v>
      </c>
      <c r="G74" s="113"/>
      <c r="H74" s="113"/>
      <c r="I74" s="114"/>
      <c r="J74" s="113"/>
      <c r="K74" s="120"/>
      <c r="L74" s="115">
        <v>44805</v>
      </c>
      <c r="M74" s="113">
        <f t="shared" si="53"/>
        <v>14.560276607051049</v>
      </c>
      <c r="N74" s="113">
        <f t="shared" si="45"/>
        <v>6129.39</v>
      </c>
      <c r="O74" s="114">
        <f t="shared" si="50"/>
        <v>24.33</v>
      </c>
      <c r="P74" s="116">
        <f t="shared" si="46"/>
        <v>2142.66</v>
      </c>
      <c r="Q74" s="116">
        <f t="shared" si="54"/>
        <v>1282.08</v>
      </c>
      <c r="R74" s="117"/>
      <c r="S74" s="118"/>
      <c r="T74" s="119"/>
      <c r="V74" s="109"/>
      <c r="W74" s="109"/>
      <c r="X74" s="109"/>
    </row>
    <row r="75" spans="1:25" s="47" customFormat="1" hidden="1" x14ac:dyDescent="0.2">
      <c r="B75" s="103"/>
      <c r="C75" s="103"/>
      <c r="D75" s="110"/>
      <c r="E75" s="111"/>
      <c r="F75" s="112">
        <v>44470</v>
      </c>
      <c r="G75" s="113"/>
      <c r="H75" s="113"/>
      <c r="I75" s="114"/>
      <c r="J75" s="113"/>
      <c r="K75" s="120"/>
      <c r="L75" s="115">
        <v>44835</v>
      </c>
      <c r="M75" s="113">
        <f t="shared" si="53"/>
        <v>0</v>
      </c>
      <c r="N75" s="113">
        <f t="shared" si="45"/>
        <v>0</v>
      </c>
      <c r="O75" s="114">
        <f t="shared" si="50"/>
        <v>0</v>
      </c>
      <c r="P75" s="116">
        <f t="shared" si="46"/>
        <v>0</v>
      </c>
      <c r="Q75" s="116">
        <f t="shared" si="54"/>
        <v>0</v>
      </c>
      <c r="R75" s="117"/>
      <c r="S75" s="118"/>
      <c r="T75" s="119"/>
      <c r="V75" s="109"/>
      <c r="W75" s="109"/>
      <c r="X75" s="109"/>
    </row>
    <row r="76" spans="1:25" s="47" customFormat="1" hidden="1" x14ac:dyDescent="0.2">
      <c r="B76" s="103"/>
      <c r="C76" s="103"/>
      <c r="D76" s="110"/>
      <c r="E76" s="111"/>
      <c r="F76" s="112">
        <v>44501</v>
      </c>
      <c r="G76" s="113"/>
      <c r="H76" s="113"/>
      <c r="I76" s="114"/>
      <c r="J76" s="113"/>
      <c r="K76" s="120"/>
      <c r="L76" s="115">
        <v>44866</v>
      </c>
      <c r="M76" s="113">
        <f t="shared" si="53"/>
        <v>0</v>
      </c>
      <c r="N76" s="113">
        <f t="shared" si="45"/>
        <v>0</v>
      </c>
      <c r="O76" s="114">
        <f t="shared" si="50"/>
        <v>0</v>
      </c>
      <c r="P76" s="116">
        <f t="shared" si="46"/>
        <v>0</v>
      </c>
      <c r="Q76" s="116">
        <f t="shared" si="54"/>
        <v>0</v>
      </c>
      <c r="R76" s="117"/>
      <c r="S76" s="118"/>
      <c r="T76" s="119"/>
      <c r="V76" s="109"/>
      <c r="W76" s="109"/>
      <c r="X76" s="109"/>
    </row>
    <row r="77" spans="1:25" s="47" customFormat="1" hidden="1" x14ac:dyDescent="0.2">
      <c r="B77" s="103"/>
      <c r="C77" s="103"/>
      <c r="D77" s="110"/>
      <c r="E77" s="111"/>
      <c r="F77" s="112">
        <v>44531</v>
      </c>
      <c r="G77" s="113"/>
      <c r="H77" s="113"/>
      <c r="I77" s="114"/>
      <c r="J77" s="113"/>
      <c r="K77" s="120"/>
      <c r="L77" s="115">
        <v>44896</v>
      </c>
      <c r="M77" s="113">
        <f t="shared" si="53"/>
        <v>0</v>
      </c>
      <c r="N77" s="113">
        <f t="shared" si="45"/>
        <v>0</v>
      </c>
      <c r="O77" s="114">
        <f t="shared" si="50"/>
        <v>0</v>
      </c>
      <c r="P77" s="116">
        <f t="shared" si="46"/>
        <v>0</v>
      </c>
      <c r="Q77" s="116">
        <f t="shared" si="54"/>
        <v>0</v>
      </c>
      <c r="R77" s="117"/>
      <c r="S77" s="118"/>
      <c r="T77" s="119"/>
      <c r="V77" s="109"/>
      <c r="W77" s="109"/>
      <c r="X77" s="109"/>
    </row>
    <row r="78" spans="1:25" s="122" customFormat="1" hidden="1" x14ac:dyDescent="0.2">
      <c r="D78" s="123"/>
      <c r="E78" s="124"/>
      <c r="F78" s="125" t="s">
        <v>61</v>
      </c>
      <c r="G78" s="126"/>
      <c r="H78" s="126"/>
      <c r="I78" s="126"/>
      <c r="J78" s="127">
        <f>SUM(J66:J77)</f>
        <v>83722.900000000009</v>
      </c>
      <c r="K78" s="127"/>
      <c r="L78" s="128"/>
      <c r="M78" s="126"/>
      <c r="N78" s="126"/>
      <c r="O78" s="126"/>
      <c r="P78" s="129">
        <f>SUM(P66:P77)</f>
        <v>172513.47000000003</v>
      </c>
      <c r="Q78" s="129">
        <f>SUM(Q66:Q77)</f>
        <v>81956.399999999994</v>
      </c>
      <c r="R78" s="130">
        <f>+J78-Q78</f>
        <v>1766.5000000000146</v>
      </c>
      <c r="S78" s="131">
        <f>+R78/J78</f>
        <v>2.1099364689947605E-2</v>
      </c>
      <c r="T78" s="132"/>
      <c r="V78" s="133"/>
      <c r="W78" s="133"/>
      <c r="X78" s="133"/>
    </row>
    <row r="79" spans="1:25" s="47" customFormat="1" hidden="1" x14ac:dyDescent="0.2">
      <c r="E79" s="103"/>
      <c r="I79" s="74"/>
      <c r="J79" s="74"/>
      <c r="K79" s="74"/>
      <c r="U79" s="109"/>
      <c r="V79" s="109"/>
      <c r="W79" s="109"/>
    </row>
    <row r="80" spans="1:25" s="47" customFormat="1" hidden="1" x14ac:dyDescent="0.2">
      <c r="I80" s="74"/>
      <c r="J80" s="74">
        <f>SUM(J66:J74)</f>
        <v>83722.900000000009</v>
      </c>
      <c r="K80" s="74"/>
      <c r="R80" s="134" t="s">
        <v>62</v>
      </c>
      <c r="S80" s="95"/>
      <c r="U80" s="109"/>
      <c r="V80" s="109"/>
      <c r="W80" s="109"/>
    </row>
    <row r="81" spans="6:42" s="47" customFormat="1" ht="13.5" hidden="1" thickBot="1" x14ac:dyDescent="0.25">
      <c r="I81" s="74"/>
      <c r="J81" s="74"/>
      <c r="K81" s="74"/>
      <c r="M81" s="135"/>
      <c r="R81" s="136">
        <f>R78*T81</f>
        <v>245219576.67220223</v>
      </c>
      <c r="T81" s="137">
        <v>138816.629873875</v>
      </c>
      <c r="U81" s="138" t="s">
        <v>63</v>
      </c>
      <c r="V81" s="109"/>
      <c r="W81" s="109"/>
    </row>
    <row r="82" spans="6:42" ht="13.5" hidden="1" thickBot="1" x14ac:dyDescent="0.25">
      <c r="F82" s="189" t="s">
        <v>64</v>
      </c>
      <c r="G82" s="190"/>
      <c r="H82" s="190"/>
      <c r="I82" s="190"/>
      <c r="J82" s="191"/>
      <c r="N82" s="139">
        <f>J80-Q78</f>
        <v>1766.5000000000146</v>
      </c>
    </row>
    <row r="83" spans="6:42" ht="57.75" hidden="1" thickBot="1" x14ac:dyDescent="0.25">
      <c r="F83" s="141" t="s">
        <v>65</v>
      </c>
      <c r="G83" s="142" t="s">
        <v>66</v>
      </c>
      <c r="H83" s="142" t="s">
        <v>67</v>
      </c>
      <c r="I83" s="142" t="s">
        <v>68</v>
      </c>
      <c r="J83" s="142" t="s">
        <v>20</v>
      </c>
      <c r="R83" s="139"/>
    </row>
    <row r="84" spans="6:42" ht="43.5" hidden="1" thickBot="1" x14ac:dyDescent="0.25">
      <c r="F84" s="143" t="s">
        <v>69</v>
      </c>
      <c r="G84" s="142" t="s">
        <v>70</v>
      </c>
      <c r="H84" s="142" t="s">
        <v>70</v>
      </c>
      <c r="I84" s="142" t="s">
        <v>70</v>
      </c>
      <c r="J84" s="142" t="s">
        <v>70</v>
      </c>
      <c r="R84" s="139"/>
    </row>
    <row r="85" spans="6:42" ht="30.75" hidden="1" thickBot="1" x14ac:dyDescent="0.25">
      <c r="F85" s="144" t="s">
        <v>71</v>
      </c>
      <c r="G85" s="145">
        <f>AL3</f>
        <v>12.23</v>
      </c>
      <c r="H85" s="145">
        <f>AM3</f>
        <v>11.24</v>
      </c>
      <c r="I85" s="145">
        <f>AN3</f>
        <v>11.42</v>
      </c>
      <c r="J85" s="145">
        <f>AO3</f>
        <v>11.51</v>
      </c>
      <c r="R85" s="139"/>
    </row>
    <row r="86" spans="6:42" ht="60.75" hidden="1" thickBot="1" x14ac:dyDescent="0.25">
      <c r="F86" s="146" t="s">
        <v>72</v>
      </c>
      <c r="G86" s="145">
        <f>Y29</f>
        <v>0</v>
      </c>
      <c r="H86" s="145">
        <f>Z29</f>
        <v>0</v>
      </c>
      <c r="I86" s="145">
        <f>AA29</f>
        <v>0</v>
      </c>
      <c r="J86" s="145">
        <f>AF29</f>
        <v>0</v>
      </c>
      <c r="R86" s="139"/>
    </row>
    <row r="87" spans="6:42" ht="23.25" hidden="1" customHeight="1" thickBot="1" x14ac:dyDescent="0.25">
      <c r="F87" s="143" t="s">
        <v>73</v>
      </c>
      <c r="G87" s="147" t="s">
        <v>74</v>
      </c>
      <c r="H87" s="147" t="s">
        <v>75</v>
      </c>
      <c r="I87" s="147" t="s">
        <v>76</v>
      </c>
      <c r="J87" s="147" t="s">
        <v>20</v>
      </c>
      <c r="U87" s="212" t="s">
        <v>77</v>
      </c>
      <c r="V87" s="148" t="s">
        <v>66</v>
      </c>
      <c r="W87" s="148" t="s">
        <v>67</v>
      </c>
      <c r="X87" s="148" t="s">
        <v>68</v>
      </c>
      <c r="Y87" s="148" t="s">
        <v>20</v>
      </c>
      <c r="Z87" s="214" t="s">
        <v>78</v>
      </c>
      <c r="AB87" s="180" t="s">
        <v>77</v>
      </c>
      <c r="AC87" s="149" t="s">
        <v>66</v>
      </c>
      <c r="AD87" s="149" t="s">
        <v>67</v>
      </c>
      <c r="AE87" s="149" t="s">
        <v>68</v>
      </c>
      <c r="AF87" s="149" t="s">
        <v>20</v>
      </c>
      <c r="AK87" s="38"/>
      <c r="AP87"/>
    </row>
    <row r="88" spans="6:42" ht="30.75" hidden="1" customHeight="1" thickBot="1" x14ac:dyDescent="0.25">
      <c r="F88" s="150" t="s">
        <v>79</v>
      </c>
      <c r="G88" s="147" t="s">
        <v>80</v>
      </c>
      <c r="H88" s="147" t="s">
        <v>81</v>
      </c>
      <c r="I88" s="147" t="s">
        <v>82</v>
      </c>
      <c r="J88" s="147" t="s">
        <v>83</v>
      </c>
      <c r="R88" s="139"/>
      <c r="U88" s="213"/>
      <c r="V88" s="151" t="s">
        <v>84</v>
      </c>
      <c r="W88" s="151" t="s">
        <v>84</v>
      </c>
      <c r="X88" s="151" t="s">
        <v>84</v>
      </c>
      <c r="Y88" s="151" t="s">
        <v>84</v>
      </c>
      <c r="Z88" s="215"/>
      <c r="AB88" s="181"/>
      <c r="AC88" s="152" t="s">
        <v>85</v>
      </c>
      <c r="AD88" s="152" t="s">
        <v>85</v>
      </c>
      <c r="AE88" s="152" t="s">
        <v>85</v>
      </c>
      <c r="AF88" s="152" t="s">
        <v>85</v>
      </c>
      <c r="AK88" s="38"/>
      <c r="AP88"/>
    </row>
    <row r="89" spans="6:42" ht="38.25" hidden="1" thickBot="1" x14ac:dyDescent="0.35">
      <c r="F89" s="150" t="s">
        <v>86</v>
      </c>
      <c r="G89" s="145">
        <f>R29</f>
        <v>0</v>
      </c>
      <c r="H89" s="145">
        <f>S29</f>
        <v>0</v>
      </c>
      <c r="I89" s="145">
        <f>T29</f>
        <v>0</v>
      </c>
      <c r="J89" s="145">
        <f>SUM(G89:I89)</f>
        <v>0</v>
      </c>
      <c r="R89" s="153"/>
      <c r="U89" s="154" t="s">
        <v>71</v>
      </c>
      <c r="V89" s="155">
        <v>12.3507</v>
      </c>
      <c r="W89" s="156">
        <v>11.376099999999999</v>
      </c>
      <c r="X89" s="156">
        <v>11.5524</v>
      </c>
      <c r="Y89" s="156">
        <v>11.6425</v>
      </c>
      <c r="Z89" s="157">
        <v>29.31</v>
      </c>
      <c r="AB89" s="158" t="s">
        <v>71</v>
      </c>
      <c r="AC89" s="159">
        <f>3.41214/V89</f>
        <v>0.27627098059219318</v>
      </c>
      <c r="AD89" s="159">
        <f>3.41214/W89</f>
        <v>0.2999393465247317</v>
      </c>
      <c r="AE89" s="159">
        <f t="shared" ref="AE89:AF89" si="55">3.41214/X89</f>
        <v>0.29536200270073748</v>
      </c>
      <c r="AF89" s="159">
        <f t="shared" si="55"/>
        <v>0.29307622933218808</v>
      </c>
      <c r="AK89" s="38"/>
      <c r="AP89"/>
    </row>
    <row r="90" spans="6:42" ht="36.75" hidden="1" customHeight="1" thickBot="1" x14ac:dyDescent="0.35">
      <c r="F90" s="150" t="s">
        <v>87</v>
      </c>
      <c r="G90" s="160">
        <f>O29/$K$90</f>
        <v>0</v>
      </c>
      <c r="H90" s="160">
        <f>P29/$K$90</f>
        <v>0</v>
      </c>
      <c r="I90" s="160">
        <f>Q29/$K$90</f>
        <v>0</v>
      </c>
      <c r="J90" s="161"/>
      <c r="K90" s="43">
        <f>365*24</f>
        <v>8760</v>
      </c>
      <c r="R90" s="162"/>
      <c r="U90" s="154" t="s">
        <v>88</v>
      </c>
      <c r="V90" s="163">
        <v>12.774081592425523</v>
      </c>
      <c r="W90" s="164">
        <v>11.328188919036108</v>
      </c>
      <c r="X90" s="164">
        <v>11.460825994070255</v>
      </c>
      <c r="Y90" s="164">
        <v>11.672777298218183</v>
      </c>
      <c r="Z90" s="164">
        <v>29.231603694870916</v>
      </c>
      <c r="AB90" s="158" t="s">
        <v>89</v>
      </c>
      <c r="AC90" s="159">
        <f>3.41214/V90</f>
        <v>0.26711431074804243</v>
      </c>
      <c r="AD90" s="159">
        <f>3.41214/W90</f>
        <v>0.30120790043200762</v>
      </c>
      <c r="AE90" s="159">
        <f>3.41214/X90</f>
        <v>0.29772199680593836</v>
      </c>
      <c r="AF90" s="159">
        <f>3.41214/Y90</f>
        <v>0.29231603694870917</v>
      </c>
      <c r="AK90" s="38"/>
      <c r="AP90"/>
    </row>
    <row r="91" spans="6:42" ht="46.5" hidden="1" customHeight="1" thickBot="1" x14ac:dyDescent="0.35">
      <c r="F91" s="150" t="s">
        <v>90</v>
      </c>
      <c r="G91" s="160" t="e">
        <f>B29/$K$91</f>
        <v>#DIV/0!</v>
      </c>
      <c r="H91" s="160" t="e">
        <f t="shared" ref="H91:I91" si="56">C29/$K$91</f>
        <v>#DIV/0!</v>
      </c>
      <c r="I91" s="160" t="e">
        <f t="shared" si="56"/>
        <v>#DIV/0!</v>
      </c>
      <c r="J91" s="161"/>
      <c r="K91" s="43">
        <f>SUM(B29:D29)</f>
        <v>0</v>
      </c>
      <c r="M91" s="165" t="e">
        <f>+G91+H91+I91</f>
        <v>#DIV/0!</v>
      </c>
      <c r="U91" s="166" t="s">
        <v>91</v>
      </c>
      <c r="V91" s="167"/>
      <c r="W91" s="167"/>
      <c r="X91" s="167"/>
      <c r="Y91" s="167"/>
      <c r="Z91" s="167"/>
      <c r="AB91" s="168" t="s">
        <v>92</v>
      </c>
      <c r="AC91" s="169" t="s">
        <v>93</v>
      </c>
      <c r="AD91" s="170" t="s">
        <v>94</v>
      </c>
      <c r="AE91" s="170" t="s">
        <v>94</v>
      </c>
      <c r="AF91" s="169" t="s">
        <v>93</v>
      </c>
      <c r="AG91" s="171"/>
    </row>
    <row r="92" spans="6:42" ht="75" hidden="1" x14ac:dyDescent="0.3">
      <c r="U92" s="166" t="s">
        <v>92</v>
      </c>
      <c r="V92" s="167"/>
      <c r="W92" s="167"/>
      <c r="X92" s="167"/>
      <c r="Y92" s="167"/>
      <c r="Z92" s="167"/>
      <c r="AB92" s="172"/>
      <c r="AC92" s="173"/>
      <c r="AD92" s="173"/>
      <c r="AE92" s="173"/>
      <c r="AF92" s="173"/>
      <c r="AG92" s="167"/>
    </row>
    <row r="93" spans="6:42" hidden="1" x14ac:dyDescent="0.2">
      <c r="G93" s="174"/>
      <c r="H93" s="174"/>
      <c r="I93" s="175"/>
    </row>
    <row r="94" spans="6:42" hidden="1" x14ac:dyDescent="0.2"/>
    <row r="95" spans="6:42" hidden="1" x14ac:dyDescent="0.2">
      <c r="G95" s="174"/>
      <c r="H95" s="174"/>
      <c r="I95" s="175"/>
      <c r="J95" s="175"/>
      <c r="AC95" s="176">
        <v>0.27627098059219318</v>
      </c>
      <c r="AD95" s="176">
        <v>0.2999393465247317</v>
      </c>
      <c r="AE95" s="176">
        <v>0.29536200270073748</v>
      </c>
      <c r="AF95" s="176">
        <v>0.29307622933218808</v>
      </c>
    </row>
    <row r="96" spans="6:42" hidden="1" x14ac:dyDescent="0.2"/>
    <row r="97" spans="1:33" hidden="1" x14ac:dyDescent="0.2">
      <c r="A97" s="177"/>
      <c r="B97" s="174"/>
      <c r="C97" s="174"/>
      <c r="D97" s="174"/>
      <c r="E97" s="174"/>
      <c r="F97" s="174"/>
      <c r="G97" s="174"/>
      <c r="H97" s="174"/>
      <c r="I97" s="175"/>
      <c r="J97" s="175"/>
      <c r="K97" s="175"/>
      <c r="L97" s="174"/>
      <c r="M97" s="174"/>
      <c r="N97" s="174"/>
      <c r="O97" s="174"/>
      <c r="P97" s="174"/>
      <c r="Q97" s="174"/>
      <c r="R97" s="174"/>
      <c r="S97" s="174"/>
      <c r="T97" s="174"/>
      <c r="U97" s="178"/>
      <c r="V97" s="178"/>
      <c r="W97" s="178"/>
      <c r="X97" s="174"/>
      <c r="Y97" s="174"/>
      <c r="Z97" s="174"/>
      <c r="AA97" s="174"/>
      <c r="AB97" s="174"/>
      <c r="AC97" s="174"/>
      <c r="AD97" s="174"/>
      <c r="AE97" s="174"/>
      <c r="AF97" s="174"/>
      <c r="AG97" s="174"/>
    </row>
    <row r="98" spans="1:33" hidden="1" x14ac:dyDescent="0.2">
      <c r="B98" s="174"/>
      <c r="C98" s="174"/>
      <c r="D98" s="174"/>
      <c r="E98" s="174"/>
      <c r="F98" s="174"/>
      <c r="G98" s="174"/>
      <c r="H98" s="174"/>
      <c r="I98" s="175"/>
      <c r="J98" s="175"/>
      <c r="K98" s="175"/>
      <c r="L98" s="174"/>
      <c r="M98" s="174"/>
      <c r="N98" s="174"/>
      <c r="O98" s="174"/>
      <c r="P98" s="174"/>
      <c r="Q98" s="174"/>
      <c r="R98" s="174"/>
      <c r="S98" s="174"/>
      <c r="T98" s="174"/>
      <c r="U98" s="178"/>
      <c r="V98" s="178"/>
      <c r="W98" s="178"/>
      <c r="X98" s="174"/>
      <c r="Y98" s="174"/>
      <c r="Z98" s="174"/>
      <c r="AA98" s="174"/>
      <c r="AB98" s="174"/>
      <c r="AC98" s="174"/>
      <c r="AD98" s="174"/>
      <c r="AE98" s="174"/>
      <c r="AF98" s="174"/>
      <c r="AG98" s="174"/>
    </row>
    <row r="99" spans="1:33" hidden="1" x14ac:dyDescent="0.2">
      <c r="A99" s="177"/>
      <c r="B99" s="174"/>
      <c r="C99" s="174"/>
      <c r="D99" s="174"/>
      <c r="E99" s="174"/>
      <c r="F99" s="174"/>
      <c r="G99" s="174"/>
      <c r="H99" s="174"/>
      <c r="I99" s="175"/>
      <c r="J99" s="175"/>
      <c r="K99" s="175"/>
      <c r="L99" s="174"/>
      <c r="M99" s="174"/>
      <c r="N99" s="174"/>
      <c r="O99" s="174"/>
      <c r="P99" s="174"/>
      <c r="Q99" s="174"/>
      <c r="R99" s="174"/>
      <c r="S99" s="174"/>
      <c r="T99" s="174"/>
      <c r="U99" s="178"/>
      <c r="V99" s="178"/>
      <c r="W99" s="178"/>
      <c r="X99" s="174"/>
      <c r="Y99" s="174"/>
      <c r="Z99" s="174"/>
      <c r="AA99" s="174"/>
      <c r="AB99" s="174"/>
      <c r="AC99" s="174"/>
      <c r="AD99" s="174"/>
      <c r="AE99" s="174"/>
      <c r="AF99" s="174"/>
      <c r="AG99" s="174"/>
    </row>
    <row r="100" spans="1:33" hidden="1" x14ac:dyDescent="0.2"/>
    <row r="101" spans="1:33" hidden="1" x14ac:dyDescent="0.2">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row>
    <row r="102" spans="1:33" hidden="1" x14ac:dyDescent="0.2"/>
    <row r="103" spans="1:33" hidden="1" x14ac:dyDescent="0.2"/>
    <row r="104" spans="1:33" hidden="1" x14ac:dyDescent="0.2"/>
    <row r="105" spans="1:33" hidden="1" x14ac:dyDescent="0.2"/>
    <row r="106" spans="1:33" hidden="1" x14ac:dyDescent="0.2"/>
    <row r="107" spans="1:33" hidden="1" x14ac:dyDescent="0.2"/>
    <row r="108" spans="1:33" hidden="1" x14ac:dyDescent="0.2"/>
    <row r="109" spans="1:33" hidden="1" x14ac:dyDescent="0.2"/>
    <row r="110" spans="1:33" hidden="1" x14ac:dyDescent="0.2"/>
    <row r="111" spans="1:33" hidden="1" x14ac:dyDescent="0.2"/>
    <row r="112" spans="1:33"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sheetData>
  <mergeCells count="19">
    <mergeCell ref="Y1:AA1"/>
    <mergeCell ref="U87:U88"/>
    <mergeCell ref="Z87:Z88"/>
    <mergeCell ref="AB87:AB88"/>
    <mergeCell ref="AL1:AO1"/>
    <mergeCell ref="A31:AG31"/>
    <mergeCell ref="F64:J64"/>
    <mergeCell ref="L64:Q64"/>
    <mergeCell ref="F82:J82"/>
    <mergeCell ref="A17:AG17"/>
    <mergeCell ref="A1:A2"/>
    <mergeCell ref="B1:D1"/>
    <mergeCell ref="E1:G1"/>
    <mergeCell ref="H1:H2"/>
    <mergeCell ref="I1:K1"/>
    <mergeCell ref="L1:N1"/>
    <mergeCell ref="O1:Q1"/>
    <mergeCell ref="R1:T1"/>
    <mergeCell ref="U1:X1"/>
  </mergeCells>
  <pageMargins left="0.25" right="0.25" top="0.75" bottom="0.75" header="0.3" footer="0.3"/>
  <pageSetup scale="1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MENSUAL</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Alirio Sanabria Higuera</dc:creator>
  <cp:lastModifiedBy>Martha Ines Alcazar Espitia</cp:lastModifiedBy>
  <dcterms:created xsi:type="dcterms:W3CDTF">2022-08-08T11:45:28Z</dcterms:created>
  <dcterms:modified xsi:type="dcterms:W3CDTF">2022-10-10T13:54:21Z</dcterms:modified>
</cp:coreProperties>
</file>