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sanabria\Nueva carpeta\"/>
    </mc:Choice>
  </mc:AlternateContent>
  <bookViews>
    <workbookView xWindow="0" yWindow="0" windowWidth="28800" windowHeight="12030"/>
  </bookViews>
  <sheets>
    <sheet name="MENSUAL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7" i="1" l="1"/>
  <c r="AE87" i="1"/>
  <c r="AD87" i="1"/>
  <c r="AC87" i="1"/>
  <c r="K87" i="1"/>
  <c r="AF86" i="1"/>
  <c r="AE86" i="1"/>
  <c r="AD86" i="1"/>
  <c r="AC86" i="1"/>
  <c r="J82" i="1"/>
  <c r="I82" i="1"/>
  <c r="H82" i="1"/>
  <c r="G82" i="1"/>
  <c r="Q74" i="1"/>
  <c r="P74" i="1"/>
  <c r="N74" i="1"/>
  <c r="O74" i="1" s="1"/>
  <c r="M74" i="1"/>
  <c r="H74" i="1"/>
  <c r="I74" i="1" s="1"/>
  <c r="J74" i="1" s="1"/>
  <c r="R74" i="1" s="1"/>
  <c r="S74" i="1" s="1"/>
  <c r="Q73" i="1"/>
  <c r="P73" i="1"/>
  <c r="N73" i="1"/>
  <c r="M73" i="1"/>
  <c r="O70" i="1"/>
  <c r="O68" i="1"/>
  <c r="N68" i="1"/>
  <c r="H68" i="1"/>
  <c r="I68" i="1" s="1"/>
  <c r="N45" i="1"/>
  <c r="N43" i="1"/>
  <c r="N42" i="1"/>
  <c r="N41" i="1"/>
  <c r="N40" i="1"/>
  <c r="N44" i="1" s="1"/>
  <c r="N39" i="1"/>
  <c r="W36" i="1"/>
  <c r="V36" i="1"/>
  <c r="U36" i="1"/>
  <c r="W35" i="1"/>
  <c r="V35" i="1"/>
  <c r="U35" i="1"/>
  <c r="X34" i="1"/>
  <c r="W34" i="1"/>
  <c r="V34" i="1"/>
  <c r="U34" i="1"/>
  <c r="X33" i="1"/>
  <c r="W33" i="1"/>
  <c r="V33" i="1"/>
  <c r="U33" i="1"/>
  <c r="X29" i="1"/>
  <c r="X36" i="1" s="1"/>
  <c r="H29" i="1"/>
  <c r="H36" i="1" s="1"/>
  <c r="X28" i="1"/>
  <c r="H28" i="1"/>
  <c r="X27" i="1"/>
  <c r="X26" i="1"/>
  <c r="X35" i="1" s="1"/>
  <c r="X25" i="1"/>
  <c r="H25" i="1"/>
  <c r="X24" i="1"/>
  <c r="X23" i="1"/>
  <c r="H23" i="1"/>
  <c r="H34" i="1" s="1"/>
  <c r="X22" i="1"/>
  <c r="X21" i="1"/>
  <c r="X20" i="1"/>
  <c r="P20" i="1"/>
  <c r="P33" i="1" s="1"/>
  <c r="X19" i="1"/>
  <c r="X18" i="1"/>
  <c r="A14" i="1"/>
  <c r="A13" i="1"/>
  <c r="X12" i="1"/>
  <c r="Q12" i="1"/>
  <c r="Q43" i="1" s="1"/>
  <c r="P12" i="1"/>
  <c r="P43" i="1" s="1"/>
  <c r="O12" i="1"/>
  <c r="O43" i="1" s="1"/>
  <c r="H12" i="1"/>
  <c r="N72" i="1" s="1"/>
  <c r="G12" i="1"/>
  <c r="F12" i="1"/>
  <c r="J12" i="1" s="1"/>
  <c r="E12" i="1"/>
  <c r="I12" i="1" s="1"/>
  <c r="L12" i="1" s="1"/>
  <c r="D12" i="1"/>
  <c r="C12" i="1"/>
  <c r="S12" i="1" s="1"/>
  <c r="B12" i="1"/>
  <c r="A12" i="1"/>
  <c r="X11" i="1"/>
  <c r="Q11" i="1"/>
  <c r="P11" i="1"/>
  <c r="O11" i="1"/>
  <c r="H11" i="1"/>
  <c r="K11" i="1" s="1"/>
  <c r="N11" i="1" s="1"/>
  <c r="G11" i="1"/>
  <c r="F11" i="1"/>
  <c r="E11" i="1"/>
  <c r="Q71" i="1" s="1"/>
  <c r="D11" i="1"/>
  <c r="C11" i="1"/>
  <c r="B11" i="1"/>
  <c r="R11" i="1" s="1"/>
  <c r="A11" i="1"/>
  <c r="X10" i="1"/>
  <c r="Q10" i="1"/>
  <c r="P10" i="1"/>
  <c r="O10" i="1"/>
  <c r="H10" i="1"/>
  <c r="N70" i="1" s="1"/>
  <c r="H70" i="1" s="1"/>
  <c r="I70" i="1" s="1"/>
  <c r="G10" i="1"/>
  <c r="K10" i="1" s="1"/>
  <c r="N10" i="1" s="1"/>
  <c r="F10" i="1"/>
  <c r="J10" i="1" s="1"/>
  <c r="M10" i="1" s="1"/>
  <c r="Z10" i="1" s="1"/>
  <c r="E10" i="1"/>
  <c r="Q70" i="1" s="1"/>
  <c r="D10" i="1"/>
  <c r="T10" i="1" s="1"/>
  <c r="C10" i="1"/>
  <c r="S10" i="1" s="1"/>
  <c r="B10" i="1"/>
  <c r="A10" i="1"/>
  <c r="X9" i="1"/>
  <c r="R9" i="1"/>
  <c r="Q9" i="1"/>
  <c r="Q42" i="1" s="1"/>
  <c r="P9" i="1"/>
  <c r="O9" i="1"/>
  <c r="H9" i="1"/>
  <c r="G9" i="1"/>
  <c r="K9" i="1" s="1"/>
  <c r="N9" i="1" s="1"/>
  <c r="F9" i="1"/>
  <c r="J9" i="1" s="1"/>
  <c r="M9" i="1" s="1"/>
  <c r="E9" i="1"/>
  <c r="Q69" i="1" s="1"/>
  <c r="D9" i="1"/>
  <c r="C9" i="1"/>
  <c r="B9" i="1"/>
  <c r="A9" i="1"/>
  <c r="X8" i="1"/>
  <c r="Q8" i="1"/>
  <c r="P8" i="1"/>
  <c r="O8" i="1"/>
  <c r="G8" i="1"/>
  <c r="K8" i="1" s="1"/>
  <c r="F8" i="1"/>
  <c r="J8" i="1" s="1"/>
  <c r="E8" i="1"/>
  <c r="I8" i="1" s="1"/>
  <c r="D8" i="1"/>
  <c r="C8" i="1"/>
  <c r="B8" i="1"/>
  <c r="A8" i="1"/>
  <c r="X7" i="1"/>
  <c r="Q7" i="1"/>
  <c r="P7" i="1"/>
  <c r="O7" i="1"/>
  <c r="H7" i="1"/>
  <c r="G7" i="1"/>
  <c r="K7" i="1" s="1"/>
  <c r="N7" i="1" s="1"/>
  <c r="AA7" i="1" s="1"/>
  <c r="F7" i="1"/>
  <c r="J7" i="1" s="1"/>
  <c r="M7" i="1" s="1"/>
  <c r="E7" i="1"/>
  <c r="D7" i="1"/>
  <c r="T7" i="1" s="1"/>
  <c r="C7" i="1"/>
  <c r="S7" i="1" s="1"/>
  <c r="B7" i="1"/>
  <c r="A7" i="1"/>
  <c r="X6" i="1"/>
  <c r="R6" i="1"/>
  <c r="Q6" i="1"/>
  <c r="P6" i="1"/>
  <c r="O6" i="1"/>
  <c r="H6" i="1"/>
  <c r="H21" i="1" s="1"/>
  <c r="G6" i="1"/>
  <c r="K6" i="1" s="1"/>
  <c r="N6" i="1" s="1"/>
  <c r="F6" i="1"/>
  <c r="J6" i="1" s="1"/>
  <c r="M6" i="1" s="1"/>
  <c r="Z6" i="1" s="1"/>
  <c r="E6" i="1"/>
  <c r="Q66" i="1" s="1"/>
  <c r="D6" i="1"/>
  <c r="C6" i="1"/>
  <c r="S6" i="1" s="1"/>
  <c r="B6" i="1"/>
  <c r="A6" i="1"/>
  <c r="X5" i="1"/>
  <c r="Q5" i="1"/>
  <c r="P5" i="1"/>
  <c r="O5" i="1"/>
  <c r="H5" i="1"/>
  <c r="N65" i="1" s="1"/>
  <c r="G5" i="1"/>
  <c r="K5" i="1" s="1"/>
  <c r="N5" i="1" s="1"/>
  <c r="AA5" i="1" s="1"/>
  <c r="F5" i="1"/>
  <c r="J5" i="1" s="1"/>
  <c r="M5" i="1" s="1"/>
  <c r="E5" i="1"/>
  <c r="I5" i="1" s="1"/>
  <c r="L5" i="1" s="1"/>
  <c r="D5" i="1"/>
  <c r="T5" i="1" s="1"/>
  <c r="C5" i="1"/>
  <c r="B5" i="1"/>
  <c r="A5" i="1"/>
  <c r="AO4" i="1"/>
  <c r="AN4" i="1"/>
  <c r="AM4" i="1"/>
  <c r="AL4" i="1"/>
  <c r="X4" i="1"/>
  <c r="Q4" i="1"/>
  <c r="P4" i="1"/>
  <c r="O4" i="1"/>
  <c r="H4" i="1"/>
  <c r="G4" i="1"/>
  <c r="F4" i="1"/>
  <c r="F23" i="1" s="1"/>
  <c r="F34" i="1" s="1"/>
  <c r="E4" i="1"/>
  <c r="Q64" i="1" s="1"/>
  <c r="D4" i="1"/>
  <c r="T4" i="1" s="1"/>
  <c r="C4" i="1"/>
  <c r="S4" i="1" s="1"/>
  <c r="B4" i="1"/>
  <c r="A4" i="1"/>
  <c r="X3" i="1"/>
  <c r="Q3" i="1"/>
  <c r="P3" i="1"/>
  <c r="P18" i="1" s="1"/>
  <c r="O3" i="1"/>
  <c r="K3" i="1"/>
  <c r="H3" i="1"/>
  <c r="N63" i="1" s="1"/>
  <c r="H63" i="1" s="1"/>
  <c r="I63" i="1" s="1"/>
  <c r="G3" i="1"/>
  <c r="G18" i="1" s="1"/>
  <c r="F3" i="1"/>
  <c r="E3" i="1"/>
  <c r="D3" i="1"/>
  <c r="C3" i="1"/>
  <c r="B3" i="1"/>
  <c r="B19" i="1" s="1"/>
  <c r="A3" i="1"/>
  <c r="AA6" i="1" l="1"/>
  <c r="Z9" i="1"/>
  <c r="Z7" i="1"/>
  <c r="AA10" i="1"/>
  <c r="Q20" i="1"/>
  <c r="Q33" i="1" s="1"/>
  <c r="S8" i="1"/>
  <c r="S11" i="1"/>
  <c r="T11" i="1"/>
  <c r="AA11" i="1" s="1"/>
  <c r="M12" i="1"/>
  <c r="Z12" i="1" s="1"/>
  <c r="O26" i="1"/>
  <c r="O35" i="1" s="1"/>
  <c r="C29" i="1"/>
  <c r="R8" i="1"/>
  <c r="F26" i="1"/>
  <c r="P66" i="1"/>
  <c r="L8" i="1"/>
  <c r="P69" i="1"/>
  <c r="N66" i="1"/>
  <c r="T8" i="1"/>
  <c r="O18" i="1"/>
  <c r="P65" i="1"/>
  <c r="M8" i="1"/>
  <c r="S9" i="1"/>
  <c r="J11" i="1"/>
  <c r="M11" i="1" s="1"/>
  <c r="T12" i="1"/>
  <c r="I9" i="1"/>
  <c r="L9" i="1" s="1"/>
  <c r="Y9" i="1" s="1"/>
  <c r="S5" i="1"/>
  <c r="Z5" i="1" s="1"/>
  <c r="T6" i="1"/>
  <c r="N8" i="1"/>
  <c r="AC8" i="1" s="1"/>
  <c r="AD8" i="1" s="1"/>
  <c r="T9" i="1"/>
  <c r="F24" i="1"/>
  <c r="Y8" i="1"/>
  <c r="F35" i="1"/>
  <c r="Z8" i="1"/>
  <c r="AA9" i="1"/>
  <c r="AF9" i="1" s="1"/>
  <c r="AG9" i="1" s="1"/>
  <c r="AC9" i="1"/>
  <c r="Z11" i="1"/>
  <c r="C36" i="1"/>
  <c r="AC5" i="1"/>
  <c r="AA8" i="1"/>
  <c r="D26" i="1"/>
  <c r="D18" i="1"/>
  <c r="D23" i="1"/>
  <c r="D27" i="1"/>
  <c r="D20" i="1"/>
  <c r="D25" i="1"/>
  <c r="D29" i="1"/>
  <c r="D28" i="1"/>
  <c r="E19" i="1"/>
  <c r="C22" i="1"/>
  <c r="G23" i="1"/>
  <c r="G34" i="1" s="1"/>
  <c r="G27" i="1"/>
  <c r="B29" i="1"/>
  <c r="E23" i="1"/>
  <c r="E34" i="1" s="1"/>
  <c r="E27" i="1"/>
  <c r="E20" i="1"/>
  <c r="E33" i="1" s="1"/>
  <c r="E25" i="1"/>
  <c r="E29" i="1"/>
  <c r="E36" i="1" s="1"/>
  <c r="E22" i="1"/>
  <c r="Q63" i="1"/>
  <c r="Q67" i="1"/>
  <c r="K12" i="1"/>
  <c r="N12" i="1" s="1"/>
  <c r="E18" i="1"/>
  <c r="O20" i="1"/>
  <c r="O33" i="1" s="1"/>
  <c r="O21" i="1"/>
  <c r="D22" i="1"/>
  <c r="B25" i="1"/>
  <c r="H27" i="1"/>
  <c r="E28" i="1"/>
  <c r="Q65" i="1"/>
  <c r="C28" i="1"/>
  <c r="C21" i="1"/>
  <c r="C26" i="1"/>
  <c r="C18" i="1"/>
  <c r="S18" i="1" s="1"/>
  <c r="C23" i="1"/>
  <c r="C27" i="1"/>
  <c r="C20" i="1"/>
  <c r="C25" i="1"/>
  <c r="B22" i="1"/>
  <c r="O25" i="1"/>
  <c r="O29" i="1"/>
  <c r="O22" i="1"/>
  <c r="O39" i="1"/>
  <c r="O19" i="1"/>
  <c r="R19" i="1" s="1"/>
  <c r="O24" i="1"/>
  <c r="O44" i="1"/>
  <c r="O28" i="1"/>
  <c r="I11" i="1"/>
  <c r="L11" i="1" s="1"/>
  <c r="E21" i="1"/>
  <c r="O27" i="1"/>
  <c r="O72" i="1"/>
  <c r="H72" i="1"/>
  <c r="I72" i="1" s="1"/>
  <c r="H66" i="1"/>
  <c r="I66" i="1" s="1"/>
  <c r="J66" i="1" s="1"/>
  <c r="R66" i="1" s="1"/>
  <c r="S66" i="1" s="1"/>
  <c r="O66" i="1"/>
  <c r="H19" i="1"/>
  <c r="N64" i="1"/>
  <c r="P29" i="1"/>
  <c r="S29" i="1" s="1"/>
  <c r="P22" i="1"/>
  <c r="P39" i="1"/>
  <c r="P19" i="1"/>
  <c r="P24" i="1"/>
  <c r="P44" i="1"/>
  <c r="P28" i="1"/>
  <c r="P21" i="1"/>
  <c r="P26" i="1"/>
  <c r="P35" i="1" s="1"/>
  <c r="P41" i="1"/>
  <c r="I4" i="1"/>
  <c r="L4" i="1" s="1"/>
  <c r="O40" i="1"/>
  <c r="H22" i="1"/>
  <c r="N67" i="1"/>
  <c r="I10" i="1"/>
  <c r="L10" i="1" s="1"/>
  <c r="P71" i="1"/>
  <c r="R12" i="1"/>
  <c r="Y12" i="1" s="1"/>
  <c r="H18" i="1"/>
  <c r="B20" i="1"/>
  <c r="F21" i="1"/>
  <c r="O23" i="1"/>
  <c r="O34" i="1" s="1"/>
  <c r="C24" i="1"/>
  <c r="E26" i="1"/>
  <c r="P27" i="1"/>
  <c r="O41" i="1"/>
  <c r="K26" i="1"/>
  <c r="K18" i="1"/>
  <c r="N18" i="1" s="1"/>
  <c r="AC12" i="1"/>
  <c r="D19" i="1"/>
  <c r="R5" i="1"/>
  <c r="Y5" i="1" s="1"/>
  <c r="N3" i="1"/>
  <c r="D21" i="1"/>
  <c r="T21" i="1" s="1"/>
  <c r="F28" i="1"/>
  <c r="G25" i="1"/>
  <c r="G29" i="1"/>
  <c r="G36" i="1" s="1"/>
  <c r="G22" i="1"/>
  <c r="G19" i="1"/>
  <c r="G24" i="1"/>
  <c r="G28" i="1"/>
  <c r="I3" i="1"/>
  <c r="Q39" i="1"/>
  <c r="Q19" i="1"/>
  <c r="Q24" i="1"/>
  <c r="Q44" i="1"/>
  <c r="Q28" i="1"/>
  <c r="Q21" i="1"/>
  <c r="Q26" i="1"/>
  <c r="Q35" i="1" s="1"/>
  <c r="Q18" i="1"/>
  <c r="Q41" i="1"/>
  <c r="Q29" i="1"/>
  <c r="P64" i="1"/>
  <c r="J4" i="1"/>
  <c r="M4" i="1" s="1"/>
  <c r="Z4" i="1" s="1"/>
  <c r="R4" i="1"/>
  <c r="P40" i="1"/>
  <c r="I7" i="1"/>
  <c r="L7" i="1" s="1"/>
  <c r="P68" i="1"/>
  <c r="O42" i="1"/>
  <c r="P70" i="1"/>
  <c r="J70" i="1" s="1"/>
  <c r="R70" i="1" s="1"/>
  <c r="S70" i="1" s="1"/>
  <c r="R10" i="1"/>
  <c r="R43" i="1"/>
  <c r="S43" i="1" s="1"/>
  <c r="G20" i="1"/>
  <c r="G33" i="1" s="1"/>
  <c r="G21" i="1"/>
  <c r="P23" i="1"/>
  <c r="P34" i="1" s="1"/>
  <c r="D24" i="1"/>
  <c r="T24" i="1" s="1"/>
  <c r="P25" i="1"/>
  <c r="Q27" i="1"/>
  <c r="Q72" i="1"/>
  <c r="S3" i="1"/>
  <c r="H73" i="1"/>
  <c r="I73" i="1" s="1"/>
  <c r="J73" i="1" s="1"/>
  <c r="R73" i="1" s="1"/>
  <c r="S73" i="1" s="1"/>
  <c r="O73" i="1"/>
  <c r="T3" i="1"/>
  <c r="J65" i="1"/>
  <c r="R65" i="1" s="1"/>
  <c r="S65" i="1" s="1"/>
  <c r="F27" i="1"/>
  <c r="F20" i="1"/>
  <c r="F33" i="1" s="1"/>
  <c r="F25" i="1"/>
  <c r="F29" i="1"/>
  <c r="F36" i="1" s="1"/>
  <c r="F22" i="1"/>
  <c r="F19" i="1"/>
  <c r="N71" i="1"/>
  <c r="H26" i="1"/>
  <c r="H35" i="1" s="1"/>
  <c r="F18" i="1"/>
  <c r="B24" i="1"/>
  <c r="R24" i="1" s="1"/>
  <c r="B28" i="1"/>
  <c r="B21" i="1"/>
  <c r="B26" i="1"/>
  <c r="B18" i="1"/>
  <c r="R18" i="1" s="1"/>
  <c r="B23" i="1"/>
  <c r="B27" i="1"/>
  <c r="R27" i="1" s="1"/>
  <c r="P63" i="1"/>
  <c r="J3" i="1"/>
  <c r="R3" i="1"/>
  <c r="K4" i="1"/>
  <c r="N4" i="1" s="1"/>
  <c r="AA4" i="1" s="1"/>
  <c r="O65" i="1"/>
  <c r="H65" i="1"/>
  <c r="I65" i="1" s="1"/>
  <c r="I6" i="1"/>
  <c r="L6" i="1" s="1"/>
  <c r="Q40" i="1"/>
  <c r="P67" i="1"/>
  <c r="R7" i="1"/>
  <c r="N69" i="1"/>
  <c r="H24" i="1"/>
  <c r="P42" i="1"/>
  <c r="C19" i="1"/>
  <c r="S19" i="1" s="1"/>
  <c r="H20" i="1"/>
  <c r="H33" i="1" s="1"/>
  <c r="Q22" i="1"/>
  <c r="Q23" i="1"/>
  <c r="Q34" i="1" s="1"/>
  <c r="E24" i="1"/>
  <c r="Q25" i="1"/>
  <c r="G26" i="1"/>
  <c r="O63" i="1"/>
  <c r="P72" i="1"/>
  <c r="AF5" i="1" l="1"/>
  <c r="AG5" i="1" s="1"/>
  <c r="AA12" i="1"/>
  <c r="T25" i="1"/>
  <c r="K22" i="1"/>
  <c r="N22" i="1" s="1"/>
  <c r="R28" i="1"/>
  <c r="Q75" i="1"/>
  <c r="R42" i="1"/>
  <c r="S42" i="1" s="1"/>
  <c r="AF12" i="1"/>
  <c r="AG12" i="1" s="1"/>
  <c r="J72" i="1"/>
  <c r="R72" i="1" s="1"/>
  <c r="S72" i="1" s="1"/>
  <c r="S36" i="1"/>
  <c r="H86" i="1"/>
  <c r="N51" i="1"/>
  <c r="G87" i="1"/>
  <c r="O36" i="1"/>
  <c r="AC6" i="1"/>
  <c r="Y6" i="1"/>
  <c r="AF6" i="1" s="1"/>
  <c r="AG6" i="1" s="1"/>
  <c r="R23" i="1"/>
  <c r="R34" i="1" s="1"/>
  <c r="B34" i="1"/>
  <c r="H71" i="1"/>
  <c r="I71" i="1" s="1"/>
  <c r="J71" i="1" s="1"/>
  <c r="R71" i="1" s="1"/>
  <c r="S71" i="1" s="1"/>
  <c r="O71" i="1"/>
  <c r="I19" i="1"/>
  <c r="L19" i="1" s="1"/>
  <c r="I24" i="1"/>
  <c r="L24" i="1" s="1"/>
  <c r="I28" i="1"/>
  <c r="L28" i="1" s="1"/>
  <c r="I21" i="1"/>
  <c r="L21" i="1" s="1"/>
  <c r="I26" i="1"/>
  <c r="I18" i="1"/>
  <c r="L18" i="1" s="1"/>
  <c r="I29" i="1"/>
  <c r="I27" i="1"/>
  <c r="L27" i="1" s="1"/>
  <c r="I22" i="1"/>
  <c r="L22" i="1" s="1"/>
  <c r="I23" i="1"/>
  <c r="I20" i="1"/>
  <c r="L3" i="1"/>
  <c r="I25" i="1"/>
  <c r="L25" i="1" s="1"/>
  <c r="T19" i="1"/>
  <c r="K21" i="1"/>
  <c r="N21" i="1" s="1"/>
  <c r="R40" i="1"/>
  <c r="S40" i="1" s="1"/>
  <c r="S21" i="1"/>
  <c r="K24" i="1"/>
  <c r="N24" i="1" s="1"/>
  <c r="D33" i="1"/>
  <c r="T20" i="1"/>
  <c r="T33" i="1" s="1"/>
  <c r="M72" i="1"/>
  <c r="AD12" i="1"/>
  <c r="K28" i="1"/>
  <c r="N28" i="1" s="1"/>
  <c r="B33" i="1"/>
  <c r="R20" i="1"/>
  <c r="R33" i="1" s="1"/>
  <c r="K19" i="1"/>
  <c r="N19" i="1" s="1"/>
  <c r="R22" i="1"/>
  <c r="S28" i="1"/>
  <c r="T27" i="1"/>
  <c r="M65" i="1"/>
  <c r="AD5" i="1"/>
  <c r="K35" i="1"/>
  <c r="N26" i="1"/>
  <c r="Y7" i="1"/>
  <c r="AF7" i="1" s="1"/>
  <c r="AG7" i="1" s="1"/>
  <c r="AC7" i="1"/>
  <c r="K25" i="1"/>
  <c r="N25" i="1" s="1"/>
  <c r="R41" i="1"/>
  <c r="S41" i="1" s="1"/>
  <c r="AC4" i="1"/>
  <c r="Y4" i="1"/>
  <c r="AF4" i="1" s="1"/>
  <c r="AG4" i="1" s="1"/>
  <c r="R44" i="1"/>
  <c r="S44" i="1" s="1"/>
  <c r="S25" i="1"/>
  <c r="S22" i="1"/>
  <c r="T23" i="1"/>
  <c r="T34" i="1" s="1"/>
  <c r="D34" i="1"/>
  <c r="S26" i="1"/>
  <c r="S35" i="1" s="1"/>
  <c r="C35" i="1"/>
  <c r="R26" i="1"/>
  <c r="R35" i="1" s="1"/>
  <c r="B35" i="1"/>
  <c r="G35" i="1"/>
  <c r="R21" i="1"/>
  <c r="K20" i="1"/>
  <c r="C33" i="1"/>
  <c r="S20" i="1"/>
  <c r="S33" i="1" s="1"/>
  <c r="T18" i="1"/>
  <c r="AF8" i="1"/>
  <c r="AG8" i="1" s="1"/>
  <c r="Y11" i="1"/>
  <c r="AF11" i="1" s="1"/>
  <c r="AG11" i="1" s="1"/>
  <c r="AC11" i="1"/>
  <c r="O69" i="1"/>
  <c r="H69" i="1"/>
  <c r="I69" i="1" s="1"/>
  <c r="J69" i="1" s="1"/>
  <c r="R69" i="1" s="1"/>
  <c r="S69" i="1" s="1"/>
  <c r="K27" i="1"/>
  <c r="N27" i="1" s="1"/>
  <c r="E35" i="1"/>
  <c r="H87" i="1"/>
  <c r="P36" i="1"/>
  <c r="S27" i="1"/>
  <c r="T26" i="1"/>
  <c r="T35" i="1" s="1"/>
  <c r="D35" i="1"/>
  <c r="J24" i="1"/>
  <c r="M24" i="1" s="1"/>
  <c r="J28" i="1"/>
  <c r="M28" i="1" s="1"/>
  <c r="J21" i="1"/>
  <c r="M21" i="1" s="1"/>
  <c r="J26" i="1"/>
  <c r="J18" i="1"/>
  <c r="M18" i="1" s="1"/>
  <c r="J23" i="1"/>
  <c r="J27" i="1"/>
  <c r="M27" i="1" s="1"/>
  <c r="Z27" i="1" s="1"/>
  <c r="J25" i="1"/>
  <c r="M25" i="1" s="1"/>
  <c r="J29" i="1"/>
  <c r="J22" i="1"/>
  <c r="M22" i="1" s="1"/>
  <c r="J19" i="1"/>
  <c r="M19" i="1" s="1"/>
  <c r="M3" i="1"/>
  <c r="Z3" i="1" s="1"/>
  <c r="J20" i="1"/>
  <c r="AA3" i="1"/>
  <c r="K23" i="1"/>
  <c r="S24" i="1"/>
  <c r="AC10" i="1"/>
  <c r="Y10" i="1"/>
  <c r="AF10" i="1" s="1"/>
  <c r="AG10" i="1" s="1"/>
  <c r="H64" i="1"/>
  <c r="I64" i="1" s="1"/>
  <c r="J64" i="1" s="1"/>
  <c r="R64" i="1" s="1"/>
  <c r="S64" i="1" s="1"/>
  <c r="O64" i="1"/>
  <c r="R39" i="1"/>
  <c r="S39" i="1" s="1"/>
  <c r="S23" i="1"/>
  <c r="S34" i="1" s="1"/>
  <c r="C34" i="1"/>
  <c r="R25" i="1"/>
  <c r="T28" i="1"/>
  <c r="J63" i="1"/>
  <c r="P75" i="1"/>
  <c r="I87" i="1"/>
  <c r="Q36" i="1"/>
  <c r="N47" i="1"/>
  <c r="AA18" i="1"/>
  <c r="O67" i="1"/>
  <c r="H67" i="1"/>
  <c r="I67" i="1" s="1"/>
  <c r="J67" i="1" s="1"/>
  <c r="R67" i="1" s="1"/>
  <c r="S67" i="1" s="1"/>
  <c r="T22" i="1"/>
  <c r="AA22" i="1" s="1"/>
  <c r="K88" i="1"/>
  <c r="H88" i="1" s="1"/>
  <c r="B36" i="1"/>
  <c r="R29" i="1"/>
  <c r="T29" i="1"/>
  <c r="D36" i="1"/>
  <c r="K29" i="1"/>
  <c r="M69" i="1"/>
  <c r="AD9" i="1"/>
  <c r="AA27" i="1" l="1"/>
  <c r="N54" i="1"/>
  <c r="AA25" i="1"/>
  <c r="Y3" i="1"/>
  <c r="AF3" i="1" s="1"/>
  <c r="AG3" i="1" s="1"/>
  <c r="AC3" i="1"/>
  <c r="AC21" i="1"/>
  <c r="AD21" i="1" s="1"/>
  <c r="L50" i="1"/>
  <c r="Y21" i="1"/>
  <c r="K36" i="1"/>
  <c r="N29" i="1"/>
  <c r="M20" i="1"/>
  <c r="J33" i="1"/>
  <c r="M47" i="1"/>
  <c r="Z18" i="1"/>
  <c r="M67" i="1"/>
  <c r="AD7" i="1"/>
  <c r="L20" i="1"/>
  <c r="I33" i="1"/>
  <c r="AC28" i="1"/>
  <c r="AD28" i="1" s="1"/>
  <c r="Y28" i="1"/>
  <c r="M66" i="1"/>
  <c r="AD6" i="1"/>
  <c r="M48" i="1"/>
  <c r="Z19" i="1"/>
  <c r="M50" i="1"/>
  <c r="Z21" i="1"/>
  <c r="N35" i="1"/>
  <c r="N55" i="1"/>
  <c r="AA26" i="1"/>
  <c r="AA35" i="1" s="1"/>
  <c r="L51" i="1"/>
  <c r="Y22" i="1"/>
  <c r="AC22" i="1"/>
  <c r="AD22" i="1" s="1"/>
  <c r="AC19" i="1"/>
  <c r="AD19" i="1" s="1"/>
  <c r="L48" i="1"/>
  <c r="Y19" i="1"/>
  <c r="I35" i="1"/>
  <c r="L26" i="1"/>
  <c r="AC24" i="1"/>
  <c r="AD24" i="1" s="1"/>
  <c r="L53" i="1"/>
  <c r="Y24" i="1"/>
  <c r="Y27" i="1"/>
  <c r="AF27" i="1" s="1"/>
  <c r="AG27" i="1" s="1"/>
  <c r="AC27" i="1"/>
  <c r="AD27" i="1" s="1"/>
  <c r="L54" i="1"/>
  <c r="Y25" i="1"/>
  <c r="AC25" i="1"/>
  <c r="AD25" i="1" s="1"/>
  <c r="M23" i="1"/>
  <c r="J34" i="1"/>
  <c r="N20" i="1"/>
  <c r="K33" i="1"/>
  <c r="R63" i="1"/>
  <c r="J75" i="1"/>
  <c r="R75" i="1" s="1"/>
  <c r="J77" i="1"/>
  <c r="N79" i="1" s="1"/>
  <c r="M71" i="1"/>
  <c r="AD11" i="1"/>
  <c r="N53" i="1"/>
  <c r="AA24" i="1"/>
  <c r="L23" i="1"/>
  <c r="I34" i="1"/>
  <c r="M70" i="1"/>
  <c r="AD10" i="1"/>
  <c r="M51" i="1"/>
  <c r="Z22" i="1"/>
  <c r="M53" i="1"/>
  <c r="Z24" i="1"/>
  <c r="AA28" i="1"/>
  <c r="N50" i="1"/>
  <c r="AA21" i="1"/>
  <c r="I36" i="1"/>
  <c r="L29" i="1"/>
  <c r="J35" i="1"/>
  <c r="M26" i="1"/>
  <c r="N48" i="1"/>
  <c r="AA19" i="1"/>
  <c r="I86" i="1"/>
  <c r="T36" i="1"/>
  <c r="I88" i="1"/>
  <c r="Z28" i="1"/>
  <c r="R36" i="1"/>
  <c r="G86" i="1"/>
  <c r="J86" i="1" s="1"/>
  <c r="J36" i="1"/>
  <c r="M29" i="1"/>
  <c r="G88" i="1"/>
  <c r="K34" i="1"/>
  <c r="N23" i="1"/>
  <c r="M54" i="1"/>
  <c r="Z25" i="1"/>
  <c r="M64" i="1"/>
  <c r="AD4" i="1"/>
  <c r="AC18" i="1"/>
  <c r="AD18" i="1" s="1"/>
  <c r="L47" i="1"/>
  <c r="Y18" i="1"/>
  <c r="AF18" i="1" s="1"/>
  <c r="AG18" i="1" s="1"/>
  <c r="AF22" i="1" l="1"/>
  <c r="AG22" i="1" s="1"/>
  <c r="L49" i="1"/>
  <c r="Y20" i="1"/>
  <c r="L33" i="1"/>
  <c r="AC20" i="1"/>
  <c r="N33" i="1"/>
  <c r="AA20" i="1"/>
  <c r="AA33" i="1" s="1"/>
  <c r="N49" i="1"/>
  <c r="AF24" i="1"/>
  <c r="AG24" i="1" s="1"/>
  <c r="AF21" i="1"/>
  <c r="AG21" i="1" s="1"/>
  <c r="M34" i="1"/>
  <c r="M52" i="1"/>
  <c r="Z23" i="1"/>
  <c r="Z34" i="1" s="1"/>
  <c r="L34" i="1"/>
  <c r="L52" i="1"/>
  <c r="AC23" i="1"/>
  <c r="Y23" i="1"/>
  <c r="Y29" i="1"/>
  <c r="L36" i="1"/>
  <c r="AC29" i="1"/>
  <c r="AC26" i="1"/>
  <c r="L35" i="1"/>
  <c r="L55" i="1"/>
  <c r="Y26" i="1"/>
  <c r="M63" i="1"/>
  <c r="AD3" i="1"/>
  <c r="M35" i="1"/>
  <c r="M55" i="1"/>
  <c r="Z26" i="1"/>
  <c r="Z35" i="1" s="1"/>
  <c r="N34" i="1"/>
  <c r="N52" i="1"/>
  <c r="AA23" i="1"/>
  <c r="AA34" i="1" s="1"/>
  <c r="AF25" i="1"/>
  <c r="AG25" i="1" s="1"/>
  <c r="AF28" i="1"/>
  <c r="AG28" i="1" s="1"/>
  <c r="Z29" i="1"/>
  <c r="M36" i="1"/>
  <c r="S75" i="1"/>
  <c r="R78" i="1"/>
  <c r="AF19" i="1"/>
  <c r="AG19" i="1" s="1"/>
  <c r="M33" i="1"/>
  <c r="M49" i="1"/>
  <c r="Z20" i="1"/>
  <c r="Z33" i="1" s="1"/>
  <c r="M88" i="1"/>
  <c r="T73" i="1"/>
  <c r="T66" i="1"/>
  <c r="T70" i="1"/>
  <c r="T63" i="1"/>
  <c r="S63" i="1"/>
  <c r="T72" i="1"/>
  <c r="T65" i="1"/>
  <c r="T69" i="1"/>
  <c r="T74" i="1"/>
  <c r="T67" i="1"/>
  <c r="T68" i="1"/>
  <c r="T71" i="1"/>
  <c r="T64" i="1"/>
  <c r="AA29" i="1"/>
  <c r="N36" i="1"/>
  <c r="AF23" i="1" l="1"/>
  <c r="Y34" i="1"/>
  <c r="Y35" i="1"/>
  <c r="AF26" i="1"/>
  <c r="AD26" i="1"/>
  <c r="AD35" i="1" s="1"/>
  <c r="AC35" i="1"/>
  <c r="AC33" i="1"/>
  <c r="AD20" i="1"/>
  <c r="AD33" i="1" s="1"/>
  <c r="AC34" i="1"/>
  <c r="AD23" i="1"/>
  <c r="AD34" i="1" s="1"/>
  <c r="AC36" i="1"/>
  <c r="AD29" i="1"/>
  <c r="AD36" i="1" s="1"/>
  <c r="Z36" i="1"/>
  <c r="H83" i="1"/>
  <c r="AF20" i="1"/>
  <c r="Y33" i="1"/>
  <c r="AA36" i="1"/>
  <c r="I83" i="1"/>
  <c r="G83" i="1"/>
  <c r="Y36" i="1"/>
  <c r="AF29" i="1"/>
  <c r="AG29" i="1" l="1"/>
  <c r="AG36" i="1" s="1"/>
  <c r="J83" i="1"/>
  <c r="AF36" i="1"/>
  <c r="AG20" i="1"/>
  <c r="AG33" i="1" s="1"/>
  <c r="AF33" i="1"/>
  <c r="AG26" i="1"/>
  <c r="AG35" i="1" s="1"/>
  <c r="AF35" i="1"/>
  <c r="AF34" i="1"/>
  <c r="AG23" i="1"/>
  <c r="AG34" i="1" s="1"/>
</calcChain>
</file>

<file path=xl/sharedStrings.xml><?xml version="1.0" encoding="utf-8"?>
<sst xmlns="http://schemas.openxmlformats.org/spreadsheetml/2006/main" count="155" uniqueCount="95">
  <si>
    <t>mm:AA</t>
  </si>
  <si>
    <t>Producción (MWh)</t>
  </si>
  <si>
    <t>Consumo  (Tn)</t>
  </si>
  <si>
    <t xml:space="preserve">Poder calorífico
carbón
 (Kcal/Kg) </t>
  </si>
  <si>
    <t>TOTAL ENERGIA EN EL 
CARBÓN (MBTU)</t>
  </si>
  <si>
    <t>CONSUMO TÉRMICO ESPECÍFICO SIN CORREGIR
(MBTU/MWh)</t>
  </si>
  <si>
    <t>HORAS DE
OPERACIÓN</t>
  </si>
  <si>
    <t xml:space="preserve">POTENCIA PROMEDIO DE 
GENERACIÓN (MW) </t>
  </si>
  <si>
    <t>CAPACIDAD EFECTIVA NETA - CEN
(MW)</t>
  </si>
  <si>
    <t>CONSUMO TÉRMICO ESPECÍFICO 
CORREGIDO (MBTU/MWh)</t>
  </si>
  <si>
    <t>CONSUMO TÉRMICO
ESPECÍFICO SIN  CORREGIR</t>
  </si>
  <si>
    <t>DESEMPEÑO
SIN CORREGIR
(%)</t>
  </si>
  <si>
    <t>CONSUMO TÉRMICO
ESPECÍFICO CORREGIDO (MBTU/MWh)</t>
  </si>
  <si>
    <t>DESEMPEÑO (%)</t>
  </si>
  <si>
    <t>META 2021 - CONSUMO TÉRMICO ESPECÍFICO 
 (MBTU/MWh)</t>
  </si>
  <si>
    <t>META 2021 DESEMPEÑO %)</t>
  </si>
  <si>
    <t>Unidad Uno</t>
  </si>
  <si>
    <t xml:space="preserve">Unidad Dos </t>
  </si>
  <si>
    <t xml:space="preserve">Unidad Tres </t>
  </si>
  <si>
    <t>CEN
TOTAL</t>
  </si>
  <si>
    <t>PLANTA</t>
  </si>
  <si>
    <t xml:space="preserve">INDICADOR ACUMULADO                          INDICADOR ACUMULADO                                       INDICADOR ACUMULADO                           INDICADOR ACUMULADO                                    INDICADOR ACUMULADO  </t>
  </si>
  <si>
    <t>ene-21-feb-21</t>
  </si>
  <si>
    <t>ene-21-mar-21</t>
  </si>
  <si>
    <t>ene-21-abr-21</t>
  </si>
  <si>
    <t>ene-21-may-21</t>
  </si>
  <si>
    <t>ene-21-jun-21</t>
  </si>
  <si>
    <t>ene-21-jul-21</t>
  </si>
  <si>
    <t>ene-21-ago-21</t>
  </si>
  <si>
    <t>ene-21-sep-21</t>
  </si>
  <si>
    <t>ene-21-oct-21</t>
  </si>
  <si>
    <t>ene-21-nov-21</t>
  </si>
  <si>
    <t>ene-21-dic-21</t>
  </si>
  <si>
    <t xml:space="preserve">INDICADOR TRIMESTRAL ACUMULADO                          INDICADOR TRIMESTRAL ACUMULADO                                    INDICADOR TRIMESTRAL ACUMULADO                           INDICADOR TRIMESTRAL ACUMULADO                                    INDICADOR TRIMESTRAL ACUMULADO  </t>
  </si>
  <si>
    <t>1° TRIMESTRE</t>
  </si>
  <si>
    <t>2° TRIMESTRE</t>
  </si>
  <si>
    <t>3° TRIMESTRE</t>
  </si>
  <si>
    <t>4° TRIMESTRE</t>
  </si>
  <si>
    <t>Horas del 
Periodo</t>
  </si>
  <si>
    <t>U1</t>
  </si>
  <si>
    <t>U2</t>
  </si>
  <si>
    <t>U3</t>
  </si>
  <si>
    <t>Promedio despachabilidad 
Planta</t>
  </si>
  <si>
    <t>Promedio fuera de servicio Planta</t>
  </si>
  <si>
    <t>1° Trimestre</t>
  </si>
  <si>
    <t>2° Trimestre</t>
  </si>
  <si>
    <t>1° Semestre</t>
  </si>
  <si>
    <t>3° Trimestre</t>
  </si>
  <si>
    <t>4° Trimestre</t>
  </si>
  <si>
    <t>Consolidado año</t>
  </si>
  <si>
    <t>2020 VS 2021</t>
  </si>
  <si>
    <t>PERIODO</t>
  </si>
  <si>
    <t>CONSUMO TÉRMICO
ESPECÍFICO PLANTA SIN CORREGIR (MBTU/MWh)</t>
  </si>
  <si>
    <t xml:space="preserve">Poder calorífico
carbón promedio
 (Kcal/Kg) 
</t>
  </si>
  <si>
    <t xml:space="preserve">Poder calorífico
carbón promedio
 (MBTU/Ton) 
</t>
  </si>
  <si>
    <t>Consumo de carbón 
(Ton)</t>
  </si>
  <si>
    <t>CONSUMO TÉRMICO
ESPECÍFICO PLANTA
SIN CORREGIR 
(MBTU/MWh)</t>
  </si>
  <si>
    <t>TOTAL GENERACIÓN 
(MWh)</t>
  </si>
  <si>
    <t>Ahorro de carbón del mes (Ton) (Ton)</t>
  </si>
  <si>
    <t>Ahorro de carbón del mes (Ton) (%)</t>
  </si>
  <si>
    <t>Ahorro de carbón acumulado (%)</t>
  </si>
  <si>
    <t>CONSOLIDADO AÑO</t>
  </si>
  <si>
    <t>Ahorros económicos</t>
  </si>
  <si>
    <t>Valor promedio de la Tonelada de carbón 2020</t>
  </si>
  <si>
    <t>INFORME DE SOSTENIBILIDAD 2020</t>
  </si>
  <si>
    <t xml:space="preserve">DESEMPEÑO ENERGETICO </t>
  </si>
  <si>
    <t>UNIDAD 1</t>
  </si>
  <si>
    <t>UNIDAD 2</t>
  </si>
  <si>
    <t>UNIDAD 3</t>
  </si>
  <si>
    <t>Consumo Térmico Especifico</t>
  </si>
  <si>
    <t xml:space="preserve">MBTU/MWh </t>
  </si>
  <si>
    <t>Meta Anual</t>
  </si>
  <si>
    <t>Desempeño Energético 2020</t>
  </si>
  <si>
    <t>Condiciones Operativas 20120</t>
  </si>
  <si>
    <t xml:space="preserve">UNIDAD 1 </t>
  </si>
  <si>
    <t xml:space="preserve">UNIDAD 2 </t>
  </si>
  <si>
    <t xml:space="preserve">UNIDAD 3 </t>
  </si>
  <si>
    <t>DESEMPEÑO ENERGETICO</t>
  </si>
  <si>
    <t>EFICIENCIA PLANTA (%)</t>
  </si>
  <si>
    <t xml:space="preserve">Capacidad Nominal </t>
  </si>
  <si>
    <t xml:space="preserve">36 MW </t>
  </si>
  <si>
    <t xml:space="preserve">72 MW </t>
  </si>
  <si>
    <t xml:space="preserve">70 MW </t>
  </si>
  <si>
    <t xml:space="preserve">178MW </t>
  </si>
  <si>
    <t>MBTU/MWh</t>
  </si>
  <si>
    <t>EFICIENCIA (%)</t>
  </si>
  <si>
    <t xml:space="preserve">Generación promedio  </t>
  </si>
  <si>
    <t xml:space="preserve">Tiempo Operación </t>
  </si>
  <si>
    <t>Desempeño 1° Semestre 2021</t>
  </si>
  <si>
    <t>Desempeño a Agosto de 2021</t>
  </si>
  <si>
    <t xml:space="preserve">Aporte de Generación por unidad. </t>
  </si>
  <si>
    <t>Desempeño año 2021</t>
  </si>
  <si>
    <t xml:space="preserve">Cumplimiento de la meta </t>
  </si>
  <si>
    <t>NO CUMPLE</t>
  </si>
  <si>
    <t>CUMPLE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</si>
</sst>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0.000000000"/>
    <numFmt numFmtId="167" formatCode="_(* #,##0_);_(* \(#,##0\);_(* &quot;-&quot;??_);_(@_)"/>
    <numFmt numFmtId="168" formatCode="_-[$$-240A]\ * #,##0_-;\-[$$-240A]\ * #,##0_-;_-[$$-240A]\ * &quot;-&quot;??_-;_-@_-"/>
    <numFmt numFmtId="169" formatCode="_-&quot;$&quot;\ * #,##0_-;\-&quot;$&quot;\ * #,##0_-;_-&quot;$&quot;\ * &quot;-&quot;??_-;_-@_-"/>
    <numFmt numFmtId="170" formatCode="0.0000"/>
  </numFmts>
  <fonts count="19" x14ac:knownFonts="1">
    <font>
      <sz val="1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color rgb="FFFFFFFF"/>
      <name val="Calibri Light"/>
      <family val="2"/>
    </font>
    <font>
      <sz val="14"/>
      <color rgb="FFFFFFFF"/>
      <name val="Tahoma"/>
      <family val="2"/>
    </font>
    <font>
      <sz val="14"/>
      <color rgb="FF000000"/>
      <name val="Calibri"/>
      <family val="2"/>
    </font>
    <font>
      <sz val="14"/>
      <color rgb="FF000000"/>
      <name val="Calibri Light"/>
      <family val="2"/>
    </font>
    <font>
      <sz val="14"/>
      <color rgb="FF000000"/>
      <name val="Tahoma"/>
      <family val="2"/>
    </font>
    <font>
      <sz val="18"/>
      <name val="Arial"/>
      <family val="2"/>
    </font>
    <font>
      <sz val="14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5">
    <xf numFmtId="0" fontId="0" fillId="0" borderId="0" xfId="0"/>
    <xf numFmtId="0" fontId="3" fillId="0" borderId="4" xfId="0" applyFont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4" fontId="3" fillId="4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17" fontId="0" fillId="9" borderId="5" xfId="0" applyNumberFormat="1" applyFill="1" applyBorder="1"/>
    <xf numFmtId="4" fontId="2" fillId="0" borderId="5" xfId="0" applyNumberFormat="1" applyFont="1" applyBorder="1"/>
    <xf numFmtId="4" fontId="0" fillId="3" borderId="5" xfId="0" applyNumberFormat="1" applyFill="1" applyBorder="1"/>
    <xf numFmtId="4" fontId="0" fillId="0" borderId="5" xfId="0" applyNumberFormat="1" applyBorder="1"/>
    <xf numFmtId="164" fontId="0" fillId="4" borderId="5" xfId="1" applyFont="1" applyFill="1" applyBorder="1"/>
    <xf numFmtId="2" fontId="0" fillId="5" borderId="5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6" borderId="5" xfId="0" applyNumberFormat="1" applyFill="1" applyBorder="1"/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5" borderId="5" xfId="0" applyNumberFormat="1" applyFill="1" applyBorder="1"/>
    <xf numFmtId="2" fontId="2" fillId="7" borderId="5" xfId="0" applyNumberFormat="1" applyFont="1" applyFill="1" applyBorder="1" applyAlignment="1">
      <alignment horizontal="center"/>
    </xf>
    <xf numFmtId="2" fontId="5" fillId="5" borderId="5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6" fillId="8" borderId="5" xfId="3" applyNumberFormat="1" applyFont="1" applyFill="1" applyBorder="1" applyAlignment="1">
      <alignment horizontal="center"/>
    </xf>
    <xf numFmtId="10" fontId="0" fillId="0" borderId="5" xfId="3" applyNumberFormat="1" applyFont="1" applyFill="1" applyBorder="1" applyAlignment="1">
      <alignment horizontal="center"/>
    </xf>
    <xf numFmtId="10" fontId="6" fillId="0" borderId="0" xfId="3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/>
    <xf numFmtId="17" fontId="0" fillId="0" borderId="0" xfId="0" applyNumberFormat="1"/>
    <xf numFmtId="4" fontId="0" fillId="0" borderId="5" xfId="0" applyNumberFormat="1" applyBorder="1" applyAlignment="1">
      <alignment horizontal="center"/>
    </xf>
    <xf numFmtId="17" fontId="0" fillId="0" borderId="7" xfId="0" applyNumberFormat="1" applyFill="1" applyBorder="1"/>
    <xf numFmtId="4" fontId="2" fillId="0" borderId="0" xfId="0" applyNumberFormat="1" applyFont="1" applyBorder="1"/>
    <xf numFmtId="164" fontId="0" fillId="0" borderId="0" xfId="1" applyFont="1"/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/>
    <xf numFmtId="2" fontId="0" fillId="0" borderId="0" xfId="0" applyNumberFormat="1" applyFill="1" applyBorder="1"/>
    <xf numFmtId="0" fontId="0" fillId="0" borderId="0" xfId="0" applyFill="1" applyBorder="1"/>
    <xf numFmtId="17" fontId="0" fillId="0" borderId="0" xfId="0" applyNumberForma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" fontId="0" fillId="9" borderId="6" xfId="0" applyNumberFormat="1" applyFill="1" applyBorder="1"/>
    <xf numFmtId="4" fontId="2" fillId="0" borderId="6" xfId="0" applyNumberFormat="1" applyFont="1" applyBorder="1"/>
    <xf numFmtId="4" fontId="2" fillId="3" borderId="6" xfId="0" applyNumberFormat="1" applyFont="1" applyFill="1" applyBorder="1"/>
    <xf numFmtId="2" fontId="0" fillId="0" borderId="6" xfId="0" applyNumberFormat="1" applyBorder="1"/>
    <xf numFmtId="4" fontId="2" fillId="4" borderId="6" xfId="0" applyNumberFormat="1" applyFont="1" applyFill="1" applyBorder="1"/>
    <xf numFmtId="2" fontId="0" fillId="5" borderId="6" xfId="0" applyNumberForma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2" fontId="0" fillId="6" borderId="6" xfId="0" applyNumberFormat="1" applyFill="1" applyBorder="1"/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5" borderId="6" xfId="0" applyNumberFormat="1" applyFill="1" applyBorder="1"/>
    <xf numFmtId="2" fontId="2" fillId="7" borderId="6" xfId="0" applyNumberFormat="1" applyFont="1" applyFill="1" applyBorder="1" applyAlignment="1">
      <alignment horizontal="center"/>
    </xf>
    <xf numFmtId="2" fontId="5" fillId="5" borderId="6" xfId="0" applyNumberFormat="1" applyFont="1" applyFill="1" applyBorder="1" applyAlignment="1">
      <alignment horizontal="center"/>
    </xf>
    <xf numFmtId="17" fontId="2" fillId="9" borderId="5" xfId="0" applyNumberFormat="1" applyFont="1" applyFill="1" applyBorder="1"/>
    <xf numFmtId="4" fontId="2" fillId="3" borderId="5" xfId="0" applyNumberFormat="1" applyFont="1" applyFill="1" applyBorder="1"/>
    <xf numFmtId="2" fontId="0" fillId="0" borderId="5" xfId="0" applyNumberFormat="1" applyBorder="1"/>
    <xf numFmtId="4" fontId="2" fillId="4" borderId="5" xfId="0" applyNumberFormat="1" applyFont="1" applyFill="1" applyBorder="1"/>
    <xf numFmtId="3" fontId="2" fillId="0" borderId="5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" fontId="2" fillId="0" borderId="0" xfId="0" applyNumberFormat="1" applyFont="1" applyFill="1" applyBorder="1"/>
    <xf numFmtId="164" fontId="0" fillId="0" borderId="0" xfId="1" applyFont="1" applyFill="1" applyBorder="1"/>
    <xf numFmtId="2" fontId="0" fillId="0" borderId="0" xfId="0" applyNumberFormat="1" applyFill="1" applyBorder="1" applyAlignment="1"/>
    <xf numFmtId="2" fontId="0" fillId="0" borderId="0" xfId="0" applyNumberFormat="1" applyFill="1" applyBorder="1" applyAlignment="1">
      <alignment vertical="center"/>
    </xf>
    <xf numFmtId="2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0" fillId="0" borderId="0" xfId="1" applyNumberFormat="1" applyFont="1" applyFill="1" applyBorder="1"/>
    <xf numFmtId="4" fontId="0" fillId="0" borderId="5" xfId="0" applyNumberForma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10" fontId="2" fillId="0" borderId="5" xfId="3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/>
    <xf numFmtId="4" fontId="2" fillId="0" borderId="5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/>
    <xf numFmtId="17" fontId="0" fillId="0" borderId="6" xfId="0" applyNumberFormat="1" applyFill="1" applyBorder="1"/>
    <xf numFmtId="4" fontId="0" fillId="10" borderId="5" xfId="0" applyNumberFormat="1" applyFill="1" applyBorder="1" applyAlignment="1">
      <alignment horizontal="center" vertical="center"/>
    </xf>
    <xf numFmtId="3" fontId="0" fillId="10" borderId="5" xfId="0" applyNumberFormat="1" applyFill="1" applyBorder="1" applyAlignment="1">
      <alignment horizontal="center" vertical="center"/>
    </xf>
    <xf numFmtId="10" fontId="2" fillId="10" borderId="5" xfId="3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0" fontId="0" fillId="0" borderId="5" xfId="3" applyNumberFormat="1" applyFont="1" applyFill="1" applyBorder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Alignment="1">
      <alignment horizontal="center" wrapText="1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16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" fontId="0" fillId="0" borderId="5" xfId="0" applyNumberFormat="1" applyBorder="1"/>
    <xf numFmtId="164" fontId="0" fillId="0" borderId="5" xfId="1" applyNumberFormat="1" applyFont="1" applyBorder="1" applyAlignment="1">
      <alignment horizontal="right"/>
    </xf>
    <xf numFmtId="2" fontId="0" fillId="0" borderId="5" xfId="0" applyNumberFormat="1" applyFill="1" applyBorder="1"/>
    <xf numFmtId="17" fontId="0" fillId="0" borderId="5" xfId="1" applyNumberFormat="1" applyFont="1" applyFill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5" borderId="5" xfId="0" applyNumberFormat="1" applyFill="1" applyBorder="1" applyAlignment="1">
      <alignment horizontal="right"/>
    </xf>
    <xf numFmtId="10" fontId="0" fillId="5" borderId="5" xfId="3" applyNumberFormat="1" applyFont="1" applyFill="1" applyBorder="1" applyAlignment="1">
      <alignment horizontal="right"/>
    </xf>
    <xf numFmtId="10" fontId="2" fillId="5" borderId="5" xfId="3" applyNumberFormat="1" applyFont="1" applyFill="1" applyBorder="1" applyAlignment="1">
      <alignment horizontal="right"/>
    </xf>
    <xf numFmtId="167" fontId="0" fillId="0" borderId="5" xfId="1" applyNumberFormat="1" applyFont="1" applyBorder="1" applyAlignment="1">
      <alignment horizontal="right"/>
    </xf>
    <xf numFmtId="0" fontId="3" fillId="0" borderId="0" xfId="0" applyFont="1" applyFill="1" applyBorder="1"/>
    <xf numFmtId="0" fontId="9" fillId="0" borderId="0" xfId="0" applyFont="1"/>
    <xf numFmtId="0" fontId="3" fillId="0" borderId="0" xfId="0" applyFont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5" borderId="5" xfId="0" applyNumberFormat="1" applyFont="1" applyFill="1" applyBorder="1" applyAlignment="1">
      <alignment horizontal="right"/>
    </xf>
    <xf numFmtId="10" fontId="3" fillId="5" borderId="5" xfId="3" applyNumberFormat="1" applyFont="1" applyFill="1" applyBorder="1" applyAlignment="1">
      <alignment horizontal="right"/>
    </xf>
    <xf numFmtId="2" fontId="4" fillId="5" borderId="5" xfId="0" applyNumberFormat="1" applyFont="1" applyFill="1" applyBorder="1"/>
    <xf numFmtId="0" fontId="3" fillId="0" borderId="0" xfId="0" applyFont="1" applyFill="1" applyBorder="1" applyAlignment="1"/>
    <xf numFmtId="0" fontId="2" fillId="5" borderId="5" xfId="0" applyFont="1" applyFill="1" applyBorder="1"/>
    <xf numFmtId="10" fontId="0" fillId="0" borderId="0" xfId="3" applyNumberFormat="1" applyFont="1" applyFill="1" applyBorder="1"/>
    <xf numFmtId="43" fontId="0" fillId="0" borderId="0" xfId="0" applyNumberFormat="1" applyFill="1" applyBorder="1"/>
    <xf numFmtId="168" fontId="0" fillId="5" borderId="5" xfId="0" applyNumberFormat="1" applyFill="1" applyBorder="1"/>
    <xf numFmtId="168" fontId="0" fillId="0" borderId="0" xfId="2" applyNumberFormat="1" applyFont="1" applyFill="1" applyBorder="1"/>
    <xf numFmtId="0" fontId="2" fillId="0" borderId="0" xfId="0" applyFont="1" applyFill="1" applyBorder="1" applyAlignment="1"/>
    <xf numFmtId="43" fontId="0" fillId="0" borderId="0" xfId="0" applyNumberFormat="1"/>
    <xf numFmtId="0" fontId="0" fillId="0" borderId="0" xfId="0" applyAlignment="1"/>
    <xf numFmtId="0" fontId="10" fillId="12" borderId="11" xfId="0" applyFont="1" applyFill="1" applyBorder="1" applyAlignment="1">
      <alignment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2" fontId="10" fillId="10" borderId="12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2" fillId="13" borderId="14" xfId="0" applyFont="1" applyFill="1" applyBorder="1" applyAlignment="1">
      <alignment horizontal="center" vertical="center" wrapText="1" readingOrder="1"/>
    </xf>
    <xf numFmtId="0" fontId="13" fillId="13" borderId="14" xfId="0" applyFont="1" applyFill="1" applyBorder="1" applyAlignment="1">
      <alignment horizontal="center" vertical="center" wrapText="1" readingOrder="1"/>
    </xf>
    <xf numFmtId="0" fontId="10" fillId="0" borderId="13" xfId="0" applyFont="1" applyBorder="1" applyAlignment="1">
      <alignment vertical="center" wrapText="1"/>
    </xf>
    <xf numFmtId="0" fontId="12" fillId="13" borderId="15" xfId="0" applyFont="1" applyFill="1" applyBorder="1" applyAlignment="1">
      <alignment horizontal="center" vertical="center" wrapText="1" readingOrder="1"/>
    </xf>
    <xf numFmtId="0" fontId="13" fillId="13" borderId="15" xfId="0" applyFont="1" applyFill="1" applyBorder="1" applyAlignment="1">
      <alignment horizontal="center" vertical="center" wrapText="1" readingOrder="1"/>
    </xf>
    <xf numFmtId="44" fontId="0" fillId="0" borderId="0" xfId="2" applyFont="1"/>
    <xf numFmtId="0" fontId="14" fillId="0" borderId="16" xfId="0" applyFont="1" applyBorder="1" applyAlignment="1">
      <alignment horizontal="center" wrapText="1" readingOrder="1"/>
    </xf>
    <xf numFmtId="2" fontId="15" fillId="0" borderId="16" xfId="0" applyNumberFormat="1" applyFont="1" applyBorder="1" applyAlignment="1">
      <alignment horizontal="center" vertical="center" wrapText="1" readingOrder="1"/>
    </xf>
    <xf numFmtId="2" fontId="14" fillId="0" borderId="16" xfId="0" applyNumberFormat="1" applyFont="1" applyBorder="1" applyAlignment="1">
      <alignment horizontal="center" vertical="center" wrapText="1" readingOrder="1"/>
    </xf>
    <xf numFmtId="0" fontId="15" fillId="0" borderId="16" xfId="0" applyFont="1" applyBorder="1" applyAlignment="1">
      <alignment horizontal="center" vertical="center" wrapText="1" readingOrder="1"/>
    </xf>
    <xf numFmtId="0" fontId="16" fillId="0" borderId="16" xfId="0" applyFont="1" applyBorder="1" applyAlignment="1">
      <alignment horizontal="center" vertical="center" wrapText="1" readingOrder="1"/>
    </xf>
    <xf numFmtId="10" fontId="16" fillId="0" borderId="16" xfId="3" applyNumberFormat="1" applyFont="1" applyBorder="1" applyAlignment="1">
      <alignment horizontal="center" vertical="center" wrapText="1" readingOrder="1"/>
    </xf>
    <xf numFmtId="10" fontId="10" fillId="1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9" fontId="0" fillId="0" borderId="0" xfId="2" applyNumberFormat="1" applyFont="1"/>
    <xf numFmtId="0" fontId="14" fillId="8" borderId="16" xfId="0" applyFont="1" applyFill="1" applyBorder="1" applyAlignment="1">
      <alignment horizontal="center" vertical="center" wrapText="1" readingOrder="1"/>
    </xf>
    <xf numFmtId="0" fontId="15" fillId="8" borderId="16" xfId="0" applyFont="1" applyFill="1" applyBorder="1" applyAlignment="1">
      <alignment horizontal="center" vertical="center" wrapText="1" readingOrder="1"/>
    </xf>
    <xf numFmtId="10" fontId="0" fillId="0" borderId="0" xfId="0" applyNumberFormat="1"/>
    <xf numFmtId="0" fontId="14" fillId="0" borderId="16" xfId="0" applyFont="1" applyBorder="1" applyAlignment="1">
      <alignment horizontal="left" wrapText="1" readingOrder="1"/>
    </xf>
    <xf numFmtId="0" fontId="17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 readingOrder="1"/>
    </xf>
    <xf numFmtId="10" fontId="18" fillId="9" borderId="16" xfId="3" applyNumberFormat="1" applyFont="1" applyFill="1" applyBorder="1" applyAlignment="1">
      <alignment horizontal="center" vertical="center" wrapText="1" readingOrder="1"/>
    </xf>
    <xf numFmtId="10" fontId="18" fillId="10" borderId="16" xfId="3" applyNumberFormat="1" applyFont="1" applyFill="1" applyBorder="1" applyAlignment="1">
      <alignment horizontal="center" vertical="center" wrapText="1" readingOrder="1"/>
    </xf>
    <xf numFmtId="0" fontId="18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 readingOrder="1"/>
    </xf>
    <xf numFmtId="10" fontId="17" fillId="0" borderId="16" xfId="3" applyNumberFormat="1" applyFont="1" applyBorder="1" applyAlignment="1">
      <alignment horizontal="center" vertical="center" wrapText="1" readingOrder="1"/>
    </xf>
    <xf numFmtId="10" fontId="0" fillId="0" borderId="0" xfId="3" applyNumberFormat="1" applyFont="1"/>
    <xf numFmtId="14" fontId="0" fillId="0" borderId="0" xfId="0" applyNumberFormat="1" applyFill="1"/>
    <xf numFmtId="2" fontId="0" fillId="0" borderId="0" xfId="0" applyNumberFormat="1"/>
    <xf numFmtId="2" fontId="0" fillId="0" borderId="0" xfId="1" applyNumberFormat="1" applyFont="1"/>
    <xf numFmtId="2" fontId="0" fillId="0" borderId="0" xfId="0" applyNumberFormat="1" applyAlignment="1"/>
    <xf numFmtId="170" fontId="0" fillId="0" borderId="0" xfId="0" applyNumberFormat="1" applyFill="1"/>
    <xf numFmtId="17" fontId="2" fillId="14" borderId="5" xfId="0" applyNumberFormat="1" applyFont="1" applyFill="1" applyBorder="1"/>
    <xf numFmtId="4" fontId="2" fillId="14" borderId="5" xfId="0" applyNumberFormat="1" applyFont="1" applyFill="1" applyBorder="1"/>
    <xf numFmtId="2" fontId="0" fillId="14" borderId="5" xfId="0" applyNumberFormat="1" applyFill="1" applyBorder="1"/>
    <xf numFmtId="2" fontId="0" fillId="14" borderId="5" xfId="0" applyNumberFormat="1" applyFill="1" applyBorder="1" applyAlignment="1">
      <alignment horizontal="center"/>
    </xf>
    <xf numFmtId="3" fontId="2" fillId="14" borderId="5" xfId="0" applyNumberFormat="1" applyFont="1" applyFill="1" applyBorder="1" applyAlignment="1">
      <alignment horizontal="center"/>
    </xf>
    <xf numFmtId="1" fontId="0" fillId="14" borderId="5" xfId="0" applyNumberForma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0" xfId="0" applyFill="1" applyBorder="1"/>
    <xf numFmtId="2" fontId="2" fillId="14" borderId="5" xfId="0" applyNumberFormat="1" applyFont="1" applyFill="1" applyBorder="1" applyAlignment="1">
      <alignment horizontal="center"/>
    </xf>
    <xf numFmtId="2" fontId="5" fillId="14" borderId="5" xfId="0" applyNumberFormat="1" applyFont="1" applyFill="1" applyBorder="1" applyAlignment="1">
      <alignment horizontal="center"/>
    </xf>
    <xf numFmtId="17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2" fillId="13" borderId="14" xfId="0" applyFont="1" applyFill="1" applyBorder="1" applyAlignment="1">
      <alignment horizontal="left" vertical="center" wrapText="1" readingOrder="1"/>
    </xf>
    <xf numFmtId="0" fontId="12" fillId="13" borderId="15" xfId="0" applyFont="1" applyFill="1" applyBorder="1" applyAlignment="1">
      <alignment horizontal="left" vertical="center" wrapText="1" readingOrder="1"/>
    </xf>
    <xf numFmtId="0" fontId="12" fillId="13" borderId="14" xfId="0" applyFont="1" applyFill="1" applyBorder="1" applyAlignment="1">
      <alignment horizontal="center" vertical="center" wrapText="1" readingOrder="1"/>
    </xf>
    <xf numFmtId="0" fontId="12" fillId="13" borderId="15" xfId="0" applyFont="1" applyFill="1" applyBorder="1" applyAlignment="1">
      <alignment horizontal="center" vertical="center" wrapText="1" readingOrder="1"/>
    </xf>
    <xf numFmtId="0" fontId="13" fillId="13" borderId="14" xfId="0" applyFont="1" applyFill="1" applyBorder="1" applyAlignment="1">
      <alignment horizontal="left" vertical="center" wrapText="1" readingOrder="1"/>
    </xf>
    <xf numFmtId="0" fontId="13" fillId="13" borderId="15" xfId="0" applyFont="1" applyFill="1" applyBorder="1" applyAlignment="1">
      <alignment horizontal="left" vertical="center" wrapText="1" readingOrder="1"/>
    </xf>
    <xf numFmtId="0" fontId="3" fillId="0" borderId="5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3" fillId="4" borderId="5" xfId="1" applyFont="1" applyFill="1" applyBorder="1" applyAlignment="1">
      <alignment horizontal="center" vertical="center" wrapText="1"/>
    </xf>
    <xf numFmtId="164" fontId="3" fillId="4" borderId="5" xfId="1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</a:t>
            </a:r>
            <a:r>
              <a:rPr lang="es-CO" baseline="0"/>
              <a:t> ENERGETICO ACUMULADO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baseline="0"/>
              <a:t>UNIDAD UNO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META 2021 ≤ 12,35 MBTU/MWh</a:t>
            </a:r>
          </a:p>
        </c:rich>
      </c:tx>
      <c:layout>
        <c:manualLayout>
          <c:xMode val="edge"/>
          <c:yMode val="edge"/>
          <c:x val="0.19126686035447851"/>
          <c:y val="2.314819046624140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MENSUAL!$Y$1</c:f>
              <c:strCache>
                <c:ptCount val="1"/>
                <c:pt idx="0">
                  <c:v>CONSUMO TÉRMICO ESPECÍFICO 
CORREGIDO (MBTU/MWh)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 cap="rnd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MENSUAL!$A$33:$A$36</c:f>
              <c:strCache>
                <c:ptCount val="4"/>
                <c:pt idx="0">
                  <c:v>1° TRIMESTRE</c:v>
                </c:pt>
                <c:pt idx="1">
                  <c:v>2° TRIMESTRE</c:v>
                </c:pt>
                <c:pt idx="2">
                  <c:v>3° TRIMESTRE</c:v>
                </c:pt>
                <c:pt idx="3">
                  <c:v>4° TRIMESTRE</c:v>
                </c:pt>
              </c:strCache>
            </c:strRef>
          </c:cat>
          <c:val>
            <c:numRef>
              <c:f>MENSUAL!$Y$33:$Y$35</c:f>
              <c:numCache>
                <c:formatCode>0.00</c:formatCode>
                <c:ptCount val="3"/>
                <c:pt idx="0">
                  <c:v>12.719311003168592</c:v>
                </c:pt>
                <c:pt idx="1">
                  <c:v>12.633491921226847</c:v>
                </c:pt>
                <c:pt idx="2">
                  <c:v>12.712050320280998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0-4649-A10A-3989168D51CA}"/>
            </c:ext>
          </c:extLst>
        </c:ser>
        <c:ser>
          <c:idx val="1"/>
          <c:order val="1"/>
          <c:tx>
            <c:strRef>
              <c:f>MENSUAL!$AL$1</c:f>
              <c:strCache>
                <c:ptCount val="1"/>
                <c:pt idx="0">
                  <c:v>META 2021 - CONSUMO TÉRMICO ESPECÍFICO 
 (MBTU/MWh)</c:v>
                </c:pt>
              </c:strCache>
            </c:strRef>
          </c:tx>
          <c:marker>
            <c:symbol val="none"/>
          </c:marker>
          <c:cat>
            <c:strRef>
              <c:f>MENSUAL!$A$33:$A$36</c:f>
              <c:strCache>
                <c:ptCount val="4"/>
                <c:pt idx="0">
                  <c:v>1° TRIMESTRE</c:v>
                </c:pt>
                <c:pt idx="1">
                  <c:v>2° TRIMESTRE</c:v>
                </c:pt>
                <c:pt idx="2">
                  <c:v>3° TRIMESTRE</c:v>
                </c:pt>
                <c:pt idx="3">
                  <c:v>4° TRIMESTRE</c:v>
                </c:pt>
              </c:strCache>
            </c:strRef>
          </c:cat>
          <c:val>
            <c:numRef>
              <c:f>MENSUAL!$AL$6:$AL$9</c:f>
            </c:numRef>
          </c:val>
          <c:smooth val="0"/>
          <c:extLst>
            <c:ext xmlns:c16="http://schemas.microsoft.com/office/drawing/2014/chart" uri="{C3380CC4-5D6E-409C-BE32-E72D297353CC}">
              <c16:uniqueId val="{00000001-7C90-4649-A10A-3989168D5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41152"/>
        <c:axId val="265329440"/>
      </c:lineChart>
      <c:catAx>
        <c:axId val="22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329440"/>
        <c:crosses val="autoZero"/>
        <c:auto val="1"/>
        <c:lblAlgn val="ctr"/>
        <c:lblOffset val="100"/>
        <c:noMultiLvlLbl val="0"/>
      </c:catAx>
      <c:valAx>
        <c:axId val="265329440"/>
        <c:scaling>
          <c:orientation val="minMax"/>
          <c:max val="13"/>
          <c:min val="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86553378651198E-3"/>
          <c:y val="0.78816091290064716"/>
          <c:w val="0.98619471828788574"/>
          <c:h val="0.20258530290033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DESEMPEÑO ENERGETICO ACUMULADO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UNIDAD DOS</a:t>
            </a:r>
            <a:endParaRPr lang="es-C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META 2021 ≤ 11,38 MBTU/MWh</a:t>
            </a:r>
            <a:endParaRPr lang="es-CO" sz="1400">
              <a:effectLst/>
            </a:endParaRPr>
          </a:p>
        </c:rich>
      </c:tx>
      <c:layout>
        <c:manualLayout>
          <c:xMode val="edge"/>
          <c:yMode val="edge"/>
          <c:x val="0.21547864825688534"/>
          <c:y val="3.552039799056331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515876510610709E-2"/>
          <c:y val="0.21993417980130503"/>
          <c:w val="0.89048451580988308"/>
          <c:h val="0.57655340091275475"/>
        </c:manualLayout>
      </c:layout>
      <c:lineChart>
        <c:grouping val="standard"/>
        <c:varyColors val="0"/>
        <c:ser>
          <c:idx val="0"/>
          <c:order val="0"/>
          <c:tx>
            <c:strRef>
              <c:f>MENSUAL!$Y$1</c:f>
              <c:strCache>
                <c:ptCount val="1"/>
                <c:pt idx="0">
                  <c:v>CONSUMO TÉRMICO ESPECÍFICO 
CORREGIDO (MBTU/MWh)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 cap="rnd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MENSUAL!$A$33:$A$36</c:f>
              <c:strCache>
                <c:ptCount val="4"/>
                <c:pt idx="0">
                  <c:v>1° TRIMESTRE</c:v>
                </c:pt>
                <c:pt idx="1">
                  <c:v>2° TRIMESTRE</c:v>
                </c:pt>
                <c:pt idx="2">
                  <c:v>3° TRIMESTRE</c:v>
                </c:pt>
                <c:pt idx="3">
                  <c:v>4° TRIMESTRE</c:v>
                </c:pt>
              </c:strCache>
            </c:strRef>
          </c:cat>
          <c:val>
            <c:numRef>
              <c:f>MENSUAL!$Z$33:$Z$35</c:f>
              <c:numCache>
                <c:formatCode>0.00</c:formatCode>
                <c:ptCount val="3"/>
                <c:pt idx="0">
                  <c:v>11.498821261763114</c:v>
                </c:pt>
                <c:pt idx="1">
                  <c:v>11.421223800260369</c:v>
                </c:pt>
                <c:pt idx="2">
                  <c:v>11.262063815928959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5E-4113-9BD4-D2554CCF6919}"/>
            </c:ext>
          </c:extLst>
        </c:ser>
        <c:ser>
          <c:idx val="1"/>
          <c:order val="1"/>
          <c:tx>
            <c:strRef>
              <c:f>MENSUAL!$AL$1</c:f>
              <c:strCache>
                <c:ptCount val="1"/>
                <c:pt idx="0">
                  <c:v>META 2021 - CONSUMO TÉRMICO ESPECÍFICO 
 (MBTU/MWh)</c:v>
                </c:pt>
              </c:strCache>
            </c:strRef>
          </c:tx>
          <c:marker>
            <c:symbol val="none"/>
          </c:marker>
          <c:cat>
            <c:strRef>
              <c:f>MENSUAL!$A$33:$A$36</c:f>
              <c:strCache>
                <c:ptCount val="4"/>
                <c:pt idx="0">
                  <c:v>1° TRIMESTRE</c:v>
                </c:pt>
                <c:pt idx="1">
                  <c:v>2° TRIMESTRE</c:v>
                </c:pt>
                <c:pt idx="2">
                  <c:v>3° TRIMESTRE</c:v>
                </c:pt>
                <c:pt idx="3">
                  <c:v>4° TRIMESTRE</c:v>
                </c:pt>
              </c:strCache>
            </c:strRef>
          </c:cat>
          <c:val>
            <c:numRef>
              <c:f>MENSUAL!$AM$6:$AM$9</c:f>
            </c:numRef>
          </c:val>
          <c:smooth val="0"/>
          <c:extLst>
            <c:ext xmlns:c16="http://schemas.microsoft.com/office/drawing/2014/chart" uri="{C3380CC4-5D6E-409C-BE32-E72D297353CC}">
              <c16:uniqueId val="{00000001-315E-4113-9BD4-D2554CCF6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41152"/>
        <c:axId val="265329440"/>
      </c:lineChart>
      <c:catAx>
        <c:axId val="22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329440"/>
        <c:crosses val="autoZero"/>
        <c:auto val="1"/>
        <c:lblAlgn val="ctr"/>
        <c:lblOffset val="100"/>
        <c:noMultiLvlLbl val="0"/>
      </c:catAx>
      <c:valAx>
        <c:axId val="265329440"/>
        <c:scaling>
          <c:orientation val="minMax"/>
          <c:max val="12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86553378651198E-3"/>
          <c:y val="0.78816091290064716"/>
          <c:w val="0.98619471828788574"/>
          <c:h val="0.20258530290033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DESEMPEÑO ENERGETICO ACUMULADO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UNIDAD TRES</a:t>
            </a:r>
            <a:endParaRPr lang="es-C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META 2021 ≤ 11,55 MBTU/MWh</a:t>
            </a:r>
          </a:p>
        </c:rich>
      </c:tx>
      <c:layout>
        <c:manualLayout>
          <c:xMode val="edge"/>
          <c:yMode val="edge"/>
          <c:x val="0.19046729729620751"/>
          <c:y val="3.57753033612757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MENSUAL!$Y$1</c:f>
              <c:strCache>
                <c:ptCount val="1"/>
                <c:pt idx="0">
                  <c:v>CONSUMO TÉRMICO ESPECÍFICO 
CORREGIDO (MBTU/MWh)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 cap="rnd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MENSUAL!$A$33:$A$36</c:f>
              <c:strCache>
                <c:ptCount val="4"/>
                <c:pt idx="0">
                  <c:v>1° TRIMESTRE</c:v>
                </c:pt>
                <c:pt idx="1">
                  <c:v>2° TRIMESTRE</c:v>
                </c:pt>
                <c:pt idx="2">
                  <c:v>3° TRIMESTRE</c:v>
                </c:pt>
                <c:pt idx="3">
                  <c:v>4° TRIMESTRE</c:v>
                </c:pt>
              </c:strCache>
            </c:strRef>
          </c:cat>
          <c:val>
            <c:numRef>
              <c:f>MENSUAL!$AA$33:$AA$35</c:f>
              <c:numCache>
                <c:formatCode>0.00</c:formatCode>
                <c:ptCount val="3"/>
                <c:pt idx="0">
                  <c:v>11.681739109356648</c:v>
                </c:pt>
                <c:pt idx="1">
                  <c:v>11.613772406551458</c:v>
                </c:pt>
                <c:pt idx="2">
                  <c:v>11.41311734229167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22-45C0-B254-653AEA955B19}"/>
            </c:ext>
          </c:extLst>
        </c:ser>
        <c:ser>
          <c:idx val="1"/>
          <c:order val="1"/>
          <c:tx>
            <c:strRef>
              <c:f>MENSUAL!$AL$1</c:f>
              <c:strCache>
                <c:ptCount val="1"/>
                <c:pt idx="0">
                  <c:v>META 2021 - CONSUMO TÉRMICO ESPECÍFICO 
 (MBTU/MWh)</c:v>
                </c:pt>
              </c:strCache>
            </c:strRef>
          </c:tx>
          <c:marker>
            <c:symbol val="none"/>
          </c:marker>
          <c:cat>
            <c:strRef>
              <c:f>MENSUAL!$A$33:$A$36</c:f>
              <c:strCache>
                <c:ptCount val="4"/>
                <c:pt idx="0">
                  <c:v>1° TRIMESTRE</c:v>
                </c:pt>
                <c:pt idx="1">
                  <c:v>2° TRIMESTRE</c:v>
                </c:pt>
                <c:pt idx="2">
                  <c:v>3° TRIMESTRE</c:v>
                </c:pt>
                <c:pt idx="3">
                  <c:v>4° TRIMESTRE</c:v>
                </c:pt>
              </c:strCache>
            </c:strRef>
          </c:cat>
          <c:val>
            <c:numRef>
              <c:f>MENSUAL!$AN$6:$AN$9</c:f>
            </c:numRef>
          </c:val>
          <c:smooth val="0"/>
          <c:extLst>
            <c:ext xmlns:c16="http://schemas.microsoft.com/office/drawing/2014/chart" uri="{C3380CC4-5D6E-409C-BE32-E72D297353CC}">
              <c16:uniqueId val="{00000001-9722-45C0-B254-653AEA955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41152"/>
        <c:axId val="265329440"/>
      </c:lineChart>
      <c:catAx>
        <c:axId val="22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329440"/>
        <c:crosses val="autoZero"/>
        <c:auto val="1"/>
        <c:lblAlgn val="ctr"/>
        <c:lblOffset val="100"/>
        <c:noMultiLvlLbl val="0"/>
      </c:catAx>
      <c:valAx>
        <c:axId val="265329440"/>
        <c:scaling>
          <c:orientation val="minMax"/>
          <c:max val="12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86553378651198E-3"/>
          <c:y val="0.78816091290064716"/>
          <c:w val="0.98619471828788574"/>
          <c:h val="0.20258530290033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DESEMPEÑO ENERGETICO ACUMULADO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PLANTA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META 2021 ≤ 11,64 MBTU/MWh</a:t>
            </a:r>
          </a:p>
        </c:rich>
      </c:tx>
      <c:layout>
        <c:manualLayout>
          <c:xMode val="edge"/>
          <c:yMode val="edge"/>
          <c:x val="0.18856791632921271"/>
          <c:y val="2.78457007212280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514004762543503E-2"/>
          <c:y val="0.21993417980130503"/>
          <c:w val="0.87081726993900721"/>
          <c:h val="0.53753101751464616"/>
        </c:manualLayout>
      </c:layout>
      <c:lineChart>
        <c:grouping val="standard"/>
        <c:varyColors val="0"/>
        <c:ser>
          <c:idx val="0"/>
          <c:order val="0"/>
          <c:tx>
            <c:strRef>
              <c:f>MENSUAL!$AF$1</c:f>
              <c:strCache>
                <c:ptCount val="1"/>
                <c:pt idx="0">
                  <c:v>CONSUMO TÉRMICO
ESPECÍFICO CORREGIDO (MBTU/MWh)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 cap="rnd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MENSUAL!$A$33:$A$36</c:f>
              <c:strCache>
                <c:ptCount val="4"/>
                <c:pt idx="0">
                  <c:v>1° TRIMESTRE</c:v>
                </c:pt>
                <c:pt idx="1">
                  <c:v>2° TRIMESTRE</c:v>
                </c:pt>
                <c:pt idx="2">
                  <c:v>3° TRIMESTRE</c:v>
                </c:pt>
                <c:pt idx="3">
                  <c:v>4° TRIMESTRE</c:v>
                </c:pt>
              </c:strCache>
            </c:strRef>
          </c:cat>
          <c:val>
            <c:numRef>
              <c:f>MENSUAL!$AF$33:$AF$35</c:f>
              <c:numCache>
                <c:formatCode>0.00</c:formatCode>
                <c:ptCount val="3"/>
                <c:pt idx="0">
                  <c:v>11.817595868629095</c:v>
                </c:pt>
                <c:pt idx="1">
                  <c:v>11.742122984502894</c:v>
                </c:pt>
                <c:pt idx="2">
                  <c:v>11.61472258560347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73-4AB4-9293-40931A9E92A4}"/>
            </c:ext>
          </c:extLst>
        </c:ser>
        <c:ser>
          <c:idx val="1"/>
          <c:order val="1"/>
          <c:tx>
            <c:strRef>
              <c:f>MENSUAL!$AL$1</c:f>
              <c:strCache>
                <c:ptCount val="1"/>
                <c:pt idx="0">
                  <c:v>META 2021 - CONSUMO TÉRMICO ESPECÍFICO 
 (MBTU/MWh)</c:v>
                </c:pt>
              </c:strCache>
            </c:strRef>
          </c:tx>
          <c:marker>
            <c:symbol val="none"/>
          </c:marker>
          <c:cat>
            <c:strRef>
              <c:f>MENSUAL!$A$33:$A$36</c:f>
              <c:strCache>
                <c:ptCount val="4"/>
                <c:pt idx="0">
                  <c:v>1° TRIMESTRE</c:v>
                </c:pt>
                <c:pt idx="1">
                  <c:v>2° TRIMESTRE</c:v>
                </c:pt>
                <c:pt idx="2">
                  <c:v>3° TRIMESTRE</c:v>
                </c:pt>
                <c:pt idx="3">
                  <c:v>4° TRIMESTRE</c:v>
                </c:pt>
              </c:strCache>
            </c:strRef>
          </c:cat>
          <c:val>
            <c:numRef>
              <c:f>MENSUAL!$AO$6:$AO$9</c:f>
            </c:numRef>
          </c:val>
          <c:smooth val="0"/>
          <c:extLst>
            <c:ext xmlns:c16="http://schemas.microsoft.com/office/drawing/2014/chart" uri="{C3380CC4-5D6E-409C-BE32-E72D297353CC}">
              <c16:uniqueId val="{00000001-0973-4AB4-9293-40931A9E9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41152"/>
        <c:axId val="265329440"/>
      </c:lineChart>
      <c:catAx>
        <c:axId val="22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329440"/>
        <c:crosses val="autoZero"/>
        <c:auto val="1"/>
        <c:lblAlgn val="ctr"/>
        <c:lblOffset val="100"/>
        <c:noMultiLvlLbl val="0"/>
      </c:catAx>
      <c:valAx>
        <c:axId val="265329440"/>
        <c:scaling>
          <c:orientation val="minMax"/>
          <c:max val="12"/>
          <c:min val="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892883924529146"/>
          <c:w val="1"/>
          <c:h val="0.18181741727767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EFICIENCIA PLANTA ACUMULADA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META 2021 ≥ 29,31%</a:t>
            </a:r>
          </a:p>
        </c:rich>
      </c:tx>
      <c:layout>
        <c:manualLayout>
          <c:xMode val="edge"/>
          <c:yMode val="edge"/>
          <c:x val="0.28749412160598586"/>
          <c:y val="3.88586643516301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MENSUAL!$AG$1</c:f>
              <c:strCache>
                <c:ptCount val="1"/>
                <c:pt idx="0">
                  <c:v>DESEMPEÑO (%)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 cap="rnd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5.8235879107731287E-2"/>
                  <c:y val="-4.1955273950334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E-43A2-9DED-9B1A09C4DDBC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MENSUAL!$A$33:$A$36</c:f>
              <c:strCache>
                <c:ptCount val="4"/>
                <c:pt idx="0">
                  <c:v>1° TRIMESTRE</c:v>
                </c:pt>
                <c:pt idx="1">
                  <c:v>2° TRIMESTRE</c:v>
                </c:pt>
                <c:pt idx="2">
                  <c:v>3° TRIMESTRE</c:v>
                </c:pt>
                <c:pt idx="3">
                  <c:v>4° TRIMESTRE</c:v>
                </c:pt>
              </c:strCache>
            </c:strRef>
          </c:cat>
          <c:val>
            <c:numRef>
              <c:f>MENSUAL!$AG$33:$AG$35</c:f>
              <c:numCache>
                <c:formatCode>0.00</c:formatCode>
                <c:ptCount val="3"/>
                <c:pt idx="0">
                  <c:v>28.873385398614303</c:v>
                </c:pt>
                <c:pt idx="1">
                  <c:v>29.058970038921405</c:v>
                </c:pt>
                <c:pt idx="2">
                  <c:v>29.377714145573925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EE-43A2-9DED-9B1A09C4DDBC}"/>
            </c:ext>
          </c:extLst>
        </c:ser>
        <c:ser>
          <c:idx val="1"/>
          <c:order val="1"/>
          <c:tx>
            <c:strRef>
              <c:f>MENSUAL!$AP$1</c:f>
              <c:strCache>
                <c:ptCount val="1"/>
                <c:pt idx="0">
                  <c:v>META 2021 DESEMPEÑO %)</c:v>
                </c:pt>
              </c:strCache>
            </c:strRef>
          </c:tx>
          <c:marker>
            <c:symbol val="none"/>
          </c:marker>
          <c:cat>
            <c:strRef>
              <c:f>MENSUAL!$A$33:$A$36</c:f>
              <c:strCache>
                <c:ptCount val="4"/>
                <c:pt idx="0">
                  <c:v>1° TRIMESTRE</c:v>
                </c:pt>
                <c:pt idx="1">
                  <c:v>2° TRIMESTRE</c:v>
                </c:pt>
                <c:pt idx="2">
                  <c:v>3° TRIMESTRE</c:v>
                </c:pt>
                <c:pt idx="3">
                  <c:v>4° TRIMESTRE</c:v>
                </c:pt>
              </c:strCache>
            </c:strRef>
          </c:cat>
          <c:val>
            <c:numRef>
              <c:f>MENSUAL!$AP$6:$AP$9</c:f>
            </c:numRef>
          </c:val>
          <c:smooth val="0"/>
          <c:extLst>
            <c:ext xmlns:c16="http://schemas.microsoft.com/office/drawing/2014/chart" uri="{C3380CC4-5D6E-409C-BE32-E72D297353CC}">
              <c16:uniqueId val="{00000002-1EEE-43A2-9DED-9B1A09C4D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41152"/>
        <c:axId val="265329440"/>
      </c:lineChart>
      <c:catAx>
        <c:axId val="22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329440"/>
        <c:crosses val="autoZero"/>
        <c:auto val="1"/>
        <c:lblAlgn val="ctr"/>
        <c:lblOffset val="100"/>
        <c:noMultiLvlLbl val="0"/>
      </c:catAx>
      <c:valAx>
        <c:axId val="265329440"/>
        <c:scaling>
          <c:orientation val="minMax"/>
          <c:max val="3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86553378651198E-3"/>
          <c:y val="0.8745669372078998"/>
          <c:w val="0.98619471828788574"/>
          <c:h val="0.116179162736359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</xdr:colOff>
      <xdr:row>71</xdr:row>
      <xdr:rowOff>12806</xdr:rowOff>
    </xdr:from>
    <xdr:to>
      <xdr:col>20</xdr:col>
      <xdr:colOff>7203</xdr:colOff>
      <xdr:row>72</xdr:row>
      <xdr:rowOff>15205</xdr:rowOff>
    </xdr:to>
    <xdr:sp macro="" textlink="">
      <xdr:nvSpPr>
        <xdr:cNvPr id="2" name="Rectángulo 1"/>
        <xdr:cNvSpPr/>
      </xdr:nvSpPr>
      <xdr:spPr>
        <a:xfrm>
          <a:off x="18602326" y="13614506"/>
          <a:ext cx="1007327" cy="16432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32</xdr:col>
      <xdr:colOff>733</xdr:colOff>
      <xdr:row>26</xdr:row>
      <xdr:rowOff>11206</xdr:rowOff>
    </xdr:from>
    <xdr:to>
      <xdr:col>33</xdr:col>
      <xdr:colOff>11206</xdr:colOff>
      <xdr:row>27</xdr:row>
      <xdr:rowOff>0</xdr:rowOff>
    </xdr:to>
    <xdr:sp macro="" textlink="">
      <xdr:nvSpPr>
        <xdr:cNvPr id="3" name="Rectángulo 2"/>
        <xdr:cNvSpPr/>
      </xdr:nvSpPr>
      <xdr:spPr>
        <a:xfrm>
          <a:off x="31842808" y="4716556"/>
          <a:ext cx="991548" cy="15071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78440</xdr:colOff>
      <xdr:row>44</xdr:row>
      <xdr:rowOff>145675</xdr:rowOff>
    </xdr:from>
    <xdr:to>
      <xdr:col>26</xdr:col>
      <xdr:colOff>420157</xdr:colOff>
      <xdr:row>64</xdr:row>
      <xdr:rowOff>148570</xdr:rowOff>
    </xdr:to>
    <xdr:graphicFrame macro="">
      <xdr:nvGraphicFramePr>
        <xdr:cNvPr id="4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537881</xdr:colOff>
      <xdr:row>45</xdr:row>
      <xdr:rowOff>1</xdr:rowOff>
    </xdr:from>
    <xdr:to>
      <xdr:col>30</xdr:col>
      <xdr:colOff>644275</xdr:colOff>
      <xdr:row>65</xdr:row>
      <xdr:rowOff>2896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358587</xdr:colOff>
      <xdr:row>45</xdr:row>
      <xdr:rowOff>11208</xdr:rowOff>
    </xdr:from>
    <xdr:to>
      <xdr:col>36</xdr:col>
      <xdr:colOff>431363</xdr:colOff>
      <xdr:row>65</xdr:row>
      <xdr:rowOff>14103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246530</xdr:colOff>
      <xdr:row>45</xdr:row>
      <xdr:rowOff>1</xdr:rowOff>
    </xdr:from>
    <xdr:to>
      <xdr:col>41</xdr:col>
      <xdr:colOff>784412</xdr:colOff>
      <xdr:row>64</xdr:row>
      <xdr:rowOff>145676</xdr:rowOff>
    </xdr:to>
    <xdr:graphicFrame macro="">
      <xdr:nvGraphicFramePr>
        <xdr:cNvPr id="7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0</xdr:colOff>
      <xdr:row>44</xdr:row>
      <xdr:rowOff>145676</xdr:rowOff>
    </xdr:from>
    <xdr:to>
      <xdr:col>48</xdr:col>
      <xdr:colOff>448235</xdr:colOff>
      <xdr:row>64</xdr:row>
      <xdr:rowOff>145676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anabria/Nueva%20carpeta%20(2)/1.%20ARCHIVOS%20EFICIENCIA%20ENERGETICA/2.%20INFORME%20TRIMESTRAL/5.%20A&#209;O%202021/MEMORIA%20DE%20CALCULO%20INDICADOR%20DE%20EFICIENCI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O ENERGETICO"/>
      <sheetName val="MENSUAL"/>
      <sheetName val="BIMESTRAL"/>
      <sheetName val="TRIMESTRAL"/>
      <sheetName val="SEMESTRAL"/>
      <sheetName val="ACUMULADO 2021"/>
      <sheetName val="GRAFICA INDICADOR 2015-2023"/>
      <sheetName val="GRAFICA INDICADOR 2015-2025"/>
      <sheetName val="MENSUAL COMPRESORES"/>
      <sheetName val="GRAFICA INDICADOR 2015-2023 U2"/>
      <sheetName val="Resumen"/>
    </sheetNames>
    <sheetDataSet>
      <sheetData sheetId="0">
        <row r="77">
          <cell r="A77">
            <v>44197</v>
          </cell>
          <cell r="B77">
            <v>6625.79</v>
          </cell>
          <cell r="F77">
            <v>11981.16</v>
          </cell>
          <cell r="J77">
            <v>408</v>
          </cell>
          <cell r="K77">
            <v>6065.98</v>
          </cell>
          <cell r="L77">
            <v>14404.03</v>
          </cell>
          <cell r="O77">
            <v>29564.38</v>
          </cell>
          <cell r="S77">
            <v>464</v>
          </cell>
          <cell r="T77">
            <v>17395.439999999999</v>
          </cell>
          <cell r="W77">
            <v>35789.85</v>
          </cell>
          <cell r="AA77">
            <v>584</v>
          </cell>
        </row>
        <row r="78">
          <cell r="A78">
            <v>44228</v>
          </cell>
          <cell r="B78">
            <v>9652.52</v>
          </cell>
          <cell r="F78">
            <v>18796.13</v>
          </cell>
          <cell r="J78">
            <v>593</v>
          </cell>
          <cell r="K78">
            <v>6084.76</v>
          </cell>
          <cell r="L78">
            <v>19411.62</v>
          </cell>
          <cell r="O78">
            <v>40858.04</v>
          </cell>
          <cell r="S78">
            <v>592</v>
          </cell>
          <cell r="T78">
            <v>19492.55</v>
          </cell>
          <cell r="W78">
            <v>39771.56</v>
          </cell>
          <cell r="AA78">
            <v>593</v>
          </cell>
        </row>
        <row r="79">
          <cell r="A79">
            <v>44256</v>
          </cell>
          <cell r="B79">
            <v>1246.5999999999999</v>
          </cell>
          <cell r="F79">
            <v>1888.55</v>
          </cell>
          <cell r="J79">
            <v>94</v>
          </cell>
          <cell r="K79">
            <v>6067.44</v>
          </cell>
          <cell r="L79">
            <v>3929.96</v>
          </cell>
          <cell r="O79">
            <v>7579.13</v>
          </cell>
          <cell r="S79">
            <v>156</v>
          </cell>
          <cell r="T79">
            <v>6727.93</v>
          </cell>
          <cell r="W79">
            <v>13275.61</v>
          </cell>
          <cell r="AA79">
            <v>255</v>
          </cell>
        </row>
        <row r="80">
          <cell r="A80">
            <v>44287</v>
          </cell>
          <cell r="B80">
            <v>2631.6</v>
          </cell>
          <cell r="F80">
            <v>4934.76</v>
          </cell>
          <cell r="J80">
            <v>183</v>
          </cell>
          <cell r="K80">
            <v>5939.76</v>
          </cell>
          <cell r="L80">
            <v>4139.88</v>
          </cell>
          <cell r="O80">
            <v>8604.07</v>
          </cell>
          <cell r="S80">
            <v>157</v>
          </cell>
          <cell r="T80">
            <v>4942.7299999999996</v>
          </cell>
          <cell r="W80">
            <v>10126.92</v>
          </cell>
          <cell r="AA80">
            <v>185</v>
          </cell>
        </row>
        <row r="81">
          <cell r="A81">
            <v>44317</v>
          </cell>
          <cell r="B81">
            <v>641</v>
          </cell>
          <cell r="F81">
            <v>1202.56</v>
          </cell>
          <cell r="J81">
            <v>42</v>
          </cell>
          <cell r="K81">
            <v>5758.36</v>
          </cell>
          <cell r="L81">
            <v>1266</v>
          </cell>
          <cell r="O81">
            <v>2631.12</v>
          </cell>
          <cell r="S81">
            <v>43</v>
          </cell>
          <cell r="T81">
            <v>1175</v>
          </cell>
          <cell r="W81">
            <v>2408.69</v>
          </cell>
          <cell r="AA81">
            <v>42</v>
          </cell>
        </row>
        <row r="82">
          <cell r="A82">
            <v>44348</v>
          </cell>
          <cell r="B82">
            <v>0</v>
          </cell>
          <cell r="F82">
            <v>0</v>
          </cell>
          <cell r="J82">
            <v>0</v>
          </cell>
          <cell r="L82">
            <v>0</v>
          </cell>
          <cell r="O82">
            <v>0</v>
          </cell>
          <cell r="S82">
            <v>0</v>
          </cell>
          <cell r="T82">
            <v>0</v>
          </cell>
          <cell r="W82">
            <v>0</v>
          </cell>
          <cell r="AA82">
            <v>0</v>
          </cell>
        </row>
        <row r="83">
          <cell r="A83">
            <v>44378</v>
          </cell>
          <cell r="B83">
            <v>0</v>
          </cell>
          <cell r="F83">
            <v>0</v>
          </cell>
          <cell r="J83">
            <v>0</v>
          </cell>
          <cell r="K83">
            <v>5861.15</v>
          </cell>
          <cell r="L83">
            <v>0</v>
          </cell>
          <cell r="O83">
            <v>0</v>
          </cell>
          <cell r="S83">
            <v>0</v>
          </cell>
          <cell r="T83">
            <v>4102.93</v>
          </cell>
          <cell r="W83">
            <v>8647.86</v>
          </cell>
          <cell r="AA83">
            <v>247</v>
          </cell>
        </row>
        <row r="84">
          <cell r="A84">
            <v>44409</v>
          </cell>
          <cell r="B84">
            <v>1612</v>
          </cell>
          <cell r="F84">
            <v>2403.0500000000002</v>
          </cell>
          <cell r="J84">
            <v>143</v>
          </cell>
          <cell r="K84">
            <v>6024.68</v>
          </cell>
          <cell r="L84">
            <v>2829.61</v>
          </cell>
          <cell r="O84">
            <v>6064.58</v>
          </cell>
          <cell r="S84">
            <v>166</v>
          </cell>
          <cell r="T84">
            <v>2152.3200000000002</v>
          </cell>
          <cell r="W84">
            <v>4352.62</v>
          </cell>
          <cell r="AA84">
            <v>129</v>
          </cell>
        </row>
        <row r="85">
          <cell r="A85">
            <v>44440</v>
          </cell>
          <cell r="B85">
            <v>1292.98</v>
          </cell>
          <cell r="F85">
            <v>2509.3200000000002</v>
          </cell>
          <cell r="J85">
            <v>114</v>
          </cell>
          <cell r="K85">
            <v>5991.33</v>
          </cell>
          <cell r="L85">
            <v>3576.17</v>
          </cell>
          <cell r="O85">
            <v>7551.25</v>
          </cell>
          <cell r="S85">
            <v>179</v>
          </cell>
          <cell r="T85">
            <v>3282.36</v>
          </cell>
          <cell r="W85">
            <v>6972.27</v>
          </cell>
          <cell r="AA85">
            <v>157</v>
          </cell>
        </row>
        <row r="86">
          <cell r="A86">
            <v>44470</v>
          </cell>
          <cell r="B86">
            <v>2429.35</v>
          </cell>
          <cell r="F86">
            <v>4341.1067000000003</v>
          </cell>
          <cell r="J86">
            <v>223</v>
          </cell>
          <cell r="K86">
            <v>5997.48</v>
          </cell>
          <cell r="L86">
            <v>1812.3500000000001</v>
          </cell>
          <cell r="O86">
            <v>3909.2514999999999</v>
          </cell>
          <cell r="S86">
            <v>94</v>
          </cell>
          <cell r="T86">
            <v>1674.62</v>
          </cell>
          <cell r="W86">
            <v>3323.6664999999998</v>
          </cell>
          <cell r="AA86">
            <v>102</v>
          </cell>
        </row>
        <row r="87">
          <cell r="A87">
            <v>44501</v>
          </cell>
        </row>
        <row r="88">
          <cell r="A88">
            <v>44531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8"/>
  <sheetViews>
    <sheetView tabSelected="1" zoomScale="70" zoomScaleNormal="70" workbookViewId="0">
      <pane xSplit="1" ySplit="1" topLeftCell="J2" activePane="bottomRight" state="frozen"/>
      <selection pane="topRight" activeCell="B1" sqref="B1"/>
      <selection pane="bottomLeft" activeCell="A2" sqref="A2"/>
      <selection pane="bottomRight" activeCell="AC107" sqref="AC107"/>
    </sheetView>
  </sheetViews>
  <sheetFormatPr baseColWidth="10" defaultRowHeight="12.75" x14ac:dyDescent="0.2"/>
  <cols>
    <col min="1" max="1" width="19" style="39" customWidth="1"/>
    <col min="2" max="2" width="11.7109375" bestFit="1" customWidth="1"/>
    <col min="3" max="3" width="11.85546875" bestFit="1" customWidth="1"/>
    <col min="4" max="4" width="11.42578125" customWidth="1"/>
    <col min="5" max="5" width="14.42578125" customWidth="1"/>
    <col min="6" max="6" width="26" customWidth="1"/>
    <col min="7" max="7" width="13.140625" customWidth="1"/>
    <col min="8" max="8" width="13.7109375" customWidth="1"/>
    <col min="9" max="11" width="13.7109375" style="44" customWidth="1"/>
    <col min="12" max="12" width="11.5703125" bestFit="1" customWidth="1"/>
    <col min="13" max="13" width="14.28515625" customWidth="1"/>
    <col min="14" max="14" width="15.7109375" customWidth="1"/>
    <col min="15" max="15" width="13.85546875" customWidth="1"/>
    <col min="16" max="16" width="14.5703125" customWidth="1"/>
    <col min="17" max="17" width="15.7109375" customWidth="1"/>
    <col min="18" max="18" width="16.5703125" customWidth="1"/>
    <col min="19" max="19" width="14.28515625" customWidth="1"/>
    <col min="20" max="20" width="15" customWidth="1"/>
    <col min="21" max="21" width="10.5703125" style="139" customWidth="1"/>
    <col min="22" max="22" width="11.140625" style="139" customWidth="1"/>
    <col min="23" max="23" width="11.42578125" style="139" customWidth="1"/>
    <col min="24" max="24" width="7.42578125" customWidth="1"/>
    <col min="25" max="25" width="11.5703125" bestFit="1" customWidth="1"/>
    <col min="26" max="26" width="11.140625" bestFit="1" customWidth="1"/>
    <col min="27" max="27" width="11.5703125" bestFit="1" customWidth="1"/>
    <col min="28" max="28" width="21" customWidth="1"/>
    <col min="29" max="29" width="25.7109375" customWidth="1"/>
    <col min="30" max="30" width="20.7109375" customWidth="1"/>
    <col min="31" max="31" width="20.28515625" customWidth="1"/>
    <col min="32" max="32" width="21" customWidth="1"/>
    <col min="33" max="33" width="14.7109375" bestFit="1" customWidth="1"/>
    <col min="34" max="34" width="11.7109375" hidden="1" customWidth="1"/>
    <col min="35" max="35" width="13.28515625" hidden="1" customWidth="1"/>
    <col min="36" max="37" width="8.5703125" hidden="1" customWidth="1"/>
    <col min="38" max="41" width="15.7109375" style="39" hidden="1" customWidth="1"/>
    <col min="42" max="42" width="20.42578125" style="39" hidden="1" customWidth="1"/>
    <col min="43" max="43" width="14.5703125" hidden="1" customWidth="1"/>
    <col min="44" max="62" width="0" hidden="1" customWidth="1"/>
  </cols>
  <sheetData>
    <row r="1" spans="1:46" s="5" customFormat="1" ht="51" x14ac:dyDescent="0.2">
      <c r="A1" s="213" t="s">
        <v>0</v>
      </c>
      <c r="B1" s="215" t="s">
        <v>1</v>
      </c>
      <c r="C1" s="216"/>
      <c r="D1" s="217"/>
      <c r="E1" s="218" t="s">
        <v>2</v>
      </c>
      <c r="F1" s="219"/>
      <c r="G1" s="220"/>
      <c r="H1" s="221" t="s">
        <v>3</v>
      </c>
      <c r="I1" s="223" t="s">
        <v>4</v>
      </c>
      <c r="J1" s="224"/>
      <c r="K1" s="224"/>
      <c r="L1" s="210" t="s">
        <v>5</v>
      </c>
      <c r="M1" s="211"/>
      <c r="N1" s="211"/>
      <c r="O1" s="204" t="s">
        <v>6</v>
      </c>
      <c r="P1" s="204"/>
      <c r="Q1" s="204"/>
      <c r="R1" s="205" t="s">
        <v>7</v>
      </c>
      <c r="S1" s="206"/>
      <c r="T1" s="206"/>
      <c r="U1" s="207" t="s">
        <v>8</v>
      </c>
      <c r="V1" s="208"/>
      <c r="W1" s="208"/>
      <c r="X1" s="209"/>
      <c r="Y1" s="210" t="s">
        <v>9</v>
      </c>
      <c r="Z1" s="211"/>
      <c r="AA1" s="211"/>
      <c r="AB1" s="1"/>
      <c r="AC1" s="2" t="s">
        <v>10</v>
      </c>
      <c r="AD1" s="3" t="s">
        <v>11</v>
      </c>
      <c r="AE1" s="1"/>
      <c r="AF1" s="4" t="s">
        <v>12</v>
      </c>
      <c r="AG1" s="4" t="s">
        <v>13</v>
      </c>
      <c r="AI1" s="6"/>
      <c r="AL1" s="212" t="s">
        <v>14</v>
      </c>
      <c r="AM1" s="212"/>
      <c r="AN1" s="212"/>
      <c r="AO1" s="212"/>
      <c r="AP1" s="7" t="s">
        <v>15</v>
      </c>
    </row>
    <row r="2" spans="1:46" s="5" customFormat="1" ht="25.5" x14ac:dyDescent="0.2">
      <c r="A2" s="214"/>
      <c r="B2" s="8" t="s">
        <v>16</v>
      </c>
      <c r="C2" s="8" t="s">
        <v>17</v>
      </c>
      <c r="D2" s="8" t="s">
        <v>18</v>
      </c>
      <c r="E2" s="9" t="s">
        <v>16</v>
      </c>
      <c r="F2" s="9" t="s">
        <v>17</v>
      </c>
      <c r="G2" s="9" t="s">
        <v>18</v>
      </c>
      <c r="H2" s="222"/>
      <c r="I2" s="10" t="s">
        <v>16</v>
      </c>
      <c r="J2" s="10" t="s">
        <v>17</v>
      </c>
      <c r="K2" s="10" t="s">
        <v>18</v>
      </c>
      <c r="L2" s="11" t="s">
        <v>16</v>
      </c>
      <c r="M2" s="11" t="s">
        <v>17</v>
      </c>
      <c r="N2" s="11" t="s">
        <v>18</v>
      </c>
      <c r="O2" s="12" t="s">
        <v>16</v>
      </c>
      <c r="P2" s="12" t="s">
        <v>17</v>
      </c>
      <c r="Q2" s="12" t="s">
        <v>18</v>
      </c>
      <c r="R2" s="13" t="s">
        <v>16</v>
      </c>
      <c r="S2" s="13" t="s">
        <v>17</v>
      </c>
      <c r="T2" s="13" t="s">
        <v>18</v>
      </c>
      <c r="U2" s="14" t="s">
        <v>16</v>
      </c>
      <c r="V2" s="14" t="s">
        <v>17</v>
      </c>
      <c r="W2" s="14" t="s">
        <v>18</v>
      </c>
      <c r="X2" s="15" t="s">
        <v>19</v>
      </c>
      <c r="Y2" s="11" t="s">
        <v>16</v>
      </c>
      <c r="Z2" s="11" t="s">
        <v>17</v>
      </c>
      <c r="AA2" s="11" t="s">
        <v>18</v>
      </c>
      <c r="AB2" s="12"/>
      <c r="AC2" s="16" t="s">
        <v>20</v>
      </c>
      <c r="AD2" s="16" t="s">
        <v>20</v>
      </c>
      <c r="AE2" s="12"/>
      <c r="AF2" s="17" t="s">
        <v>20</v>
      </c>
      <c r="AG2" s="17" t="s">
        <v>20</v>
      </c>
      <c r="AL2" s="18" t="s">
        <v>16</v>
      </c>
      <c r="AM2" s="18" t="s">
        <v>17</v>
      </c>
      <c r="AN2" s="18" t="s">
        <v>18</v>
      </c>
      <c r="AO2" s="18" t="s">
        <v>20</v>
      </c>
      <c r="AP2" s="19" t="s">
        <v>20</v>
      </c>
    </row>
    <row r="3" spans="1:46" x14ac:dyDescent="0.2">
      <c r="A3" s="20">
        <f>'[1]CONSUMO ENERGETICO'!A77</f>
        <v>44197</v>
      </c>
      <c r="B3" s="21">
        <f>'[1]CONSUMO ENERGETICO'!F77</f>
        <v>11981.16</v>
      </c>
      <c r="C3" s="21">
        <f>'[1]CONSUMO ENERGETICO'!O77</f>
        <v>29564.38</v>
      </c>
      <c r="D3" s="21">
        <f>'[1]CONSUMO ENERGETICO'!W77</f>
        <v>35789.85</v>
      </c>
      <c r="E3" s="22">
        <f>'[1]CONSUMO ENERGETICO'!B77</f>
        <v>6625.79</v>
      </c>
      <c r="F3" s="22">
        <f>'[1]CONSUMO ENERGETICO'!L77</f>
        <v>14404.03</v>
      </c>
      <c r="G3" s="22">
        <f>'[1]CONSUMO ENERGETICO'!T77</f>
        <v>17395.439999999999</v>
      </c>
      <c r="H3" s="23">
        <f>'[1]CONSUMO ENERGETICO'!K77</f>
        <v>6065.98</v>
      </c>
      <c r="I3" s="24">
        <f t="shared" ref="I3:I12" si="0">+E3*H3*3.97/1000</f>
        <v>159561.88120807399</v>
      </c>
      <c r="J3" s="24">
        <f t="shared" ref="J3:J12" si="1">+F3*H3*3.97/1000</f>
        <v>346876.99486061797</v>
      </c>
      <c r="K3" s="24">
        <f t="shared" ref="K3:K12" si="2">+G3*H3*3.97/1000</f>
        <v>418915.95279086399</v>
      </c>
      <c r="L3" s="25">
        <f t="shared" ref="L3:N12" si="3">+I3/B3</f>
        <v>13.317732273675837</v>
      </c>
      <c r="M3" s="25">
        <f t="shared" si="3"/>
        <v>11.732936556106299</v>
      </c>
      <c r="N3" s="25">
        <f t="shared" si="3"/>
        <v>11.704881489887887</v>
      </c>
      <c r="O3" s="26">
        <f>+'[1]CONSUMO ENERGETICO'!J77</f>
        <v>408</v>
      </c>
      <c r="P3" s="26">
        <f>+'[1]CONSUMO ENERGETICO'!S77</f>
        <v>464</v>
      </c>
      <c r="Q3" s="26">
        <f>+'[1]CONSUMO ENERGETICO'!AA77</f>
        <v>584</v>
      </c>
      <c r="R3" s="27">
        <f t="shared" ref="R3:T12" si="4">+B3/O3</f>
        <v>29.365588235294116</v>
      </c>
      <c r="S3" s="27">
        <f t="shared" si="4"/>
        <v>63.716336206896557</v>
      </c>
      <c r="T3" s="27">
        <f t="shared" si="4"/>
        <v>61.283989726027393</v>
      </c>
      <c r="U3" s="28">
        <v>36</v>
      </c>
      <c r="V3" s="29">
        <v>72</v>
      </c>
      <c r="W3" s="29">
        <v>70</v>
      </c>
      <c r="X3" s="28">
        <f t="shared" ref="X3:X12" si="5">+U3+V3+W3</f>
        <v>178</v>
      </c>
      <c r="Y3" s="30">
        <f t="shared" ref="Y3:Y12" si="6">L3-(U3-R3)*0.0361</f>
        <v>13.078230008969955</v>
      </c>
      <c r="Z3" s="30">
        <f t="shared" ref="Z3:Z12" si="7">M3-(V3-S3)*0.0227</f>
        <v>11.544897388002852</v>
      </c>
      <c r="AA3" s="30">
        <f t="shared" ref="AA3:AA12" si="8">N3-(W3-T3)*0.0199</f>
        <v>11.531432885435832</v>
      </c>
      <c r="AB3" s="29"/>
      <c r="AC3" s="31">
        <f t="shared" ref="AC3:AC8" si="9">L3*(U3/X3)+M3*(V3/X3)+N3*(W3/X3)</f>
        <v>12.042424147101887</v>
      </c>
      <c r="AD3" s="31">
        <f t="shared" ref="AD3:AD8" si="10">3.41214/AC3*100</f>
        <v>28.334328357145278</v>
      </c>
      <c r="AE3" s="29"/>
      <c r="AF3" s="32">
        <f t="shared" ref="AF3:AF8" si="11">+Y3*(U3/X3)+Z3*(V3/X3)+AA3*(W3/X3)</f>
        <v>11.849714574379956</v>
      </c>
      <c r="AG3" s="32">
        <f t="shared" ref="AG3:AG8" si="12">3.41214/AF3*100</f>
        <v>28.795123954945918</v>
      </c>
      <c r="AI3" s="33"/>
      <c r="AL3" s="34">
        <v>12.3507</v>
      </c>
      <c r="AM3" s="34">
        <v>11.376099999999999</v>
      </c>
      <c r="AN3" s="34">
        <v>11.5524</v>
      </c>
      <c r="AO3" s="34">
        <v>11.6425</v>
      </c>
      <c r="AP3" s="35">
        <v>29.31</v>
      </c>
      <c r="AR3" s="5"/>
      <c r="AS3" s="5"/>
      <c r="AT3" s="5"/>
    </row>
    <row r="4" spans="1:46" x14ac:dyDescent="0.2">
      <c r="A4" s="20">
        <f>'[1]CONSUMO ENERGETICO'!A78</f>
        <v>44228</v>
      </c>
      <c r="B4" s="21">
        <f>'[1]CONSUMO ENERGETICO'!F78</f>
        <v>18796.13</v>
      </c>
      <c r="C4" s="21">
        <f>'[1]CONSUMO ENERGETICO'!O78</f>
        <v>40858.04</v>
      </c>
      <c r="D4" s="21">
        <f>'[1]CONSUMO ENERGETICO'!W78</f>
        <v>39771.56</v>
      </c>
      <c r="E4" s="22">
        <f>'[1]CONSUMO ENERGETICO'!B78</f>
        <v>9652.52</v>
      </c>
      <c r="F4" s="22">
        <f>'[1]CONSUMO ENERGETICO'!L78</f>
        <v>19411.62</v>
      </c>
      <c r="G4" s="22">
        <f>'[1]CONSUMO ENERGETICO'!T78</f>
        <v>19492.55</v>
      </c>
      <c r="H4" s="23">
        <f>'[1]CONSUMO ENERGETICO'!K78</f>
        <v>6084.76</v>
      </c>
      <c r="I4" s="24">
        <f t="shared" si="0"/>
        <v>233171.07235294403</v>
      </c>
      <c r="J4" s="24">
        <f t="shared" si="1"/>
        <v>468916.74417746399</v>
      </c>
      <c r="K4" s="24">
        <f t="shared" si="2"/>
        <v>470871.72949586005</v>
      </c>
      <c r="L4" s="25">
        <f t="shared" si="3"/>
        <v>12.405270252596893</v>
      </c>
      <c r="M4" s="25">
        <f t="shared" si="3"/>
        <v>11.476731242552603</v>
      </c>
      <c r="N4" s="25">
        <f t="shared" si="3"/>
        <v>11.839408097038691</v>
      </c>
      <c r="O4" s="26">
        <f>+'[1]CONSUMO ENERGETICO'!J78</f>
        <v>593</v>
      </c>
      <c r="P4" s="26">
        <f>+'[1]CONSUMO ENERGETICO'!S78</f>
        <v>592</v>
      </c>
      <c r="Q4" s="26">
        <f>+'[1]CONSUMO ENERGETICO'!AA78</f>
        <v>593</v>
      </c>
      <c r="R4" s="27">
        <f t="shared" si="4"/>
        <v>31.696677908937605</v>
      </c>
      <c r="S4" s="27">
        <f t="shared" si="4"/>
        <v>69.016959459459457</v>
      </c>
      <c r="T4" s="27">
        <f t="shared" si="4"/>
        <v>67.068397976391225</v>
      </c>
      <c r="U4" s="28">
        <v>36</v>
      </c>
      <c r="V4" s="29">
        <v>72</v>
      </c>
      <c r="W4" s="29">
        <v>70</v>
      </c>
      <c r="X4" s="28">
        <f t="shared" si="5"/>
        <v>178</v>
      </c>
      <c r="Y4" s="30">
        <f t="shared" si="6"/>
        <v>12.249920325109541</v>
      </c>
      <c r="Z4" s="30">
        <f t="shared" si="7"/>
        <v>11.409016222282332</v>
      </c>
      <c r="AA4" s="30">
        <f t="shared" si="8"/>
        <v>11.781069216768875</v>
      </c>
      <c r="AB4" s="29"/>
      <c r="AC4" s="31">
        <f t="shared" si="9"/>
        <v>11.807151378370696</v>
      </c>
      <c r="AD4" s="31">
        <f t="shared" si="10"/>
        <v>28.898926512034368</v>
      </c>
      <c r="AE4" s="29"/>
      <c r="AF4" s="32">
        <f t="shared" si="11"/>
        <v>11.725399690348835</v>
      </c>
      <c r="AG4" s="32">
        <f t="shared" si="12"/>
        <v>29.100415253294344</v>
      </c>
      <c r="AI4" s="33"/>
      <c r="AL4" s="36">
        <f>3.41214/AL3</f>
        <v>0.27627098059219318</v>
      </c>
      <c r="AM4" s="36">
        <f t="shared" ref="AM4:AN4" si="13">3.41214/AM3</f>
        <v>0.2999393465247317</v>
      </c>
      <c r="AN4" s="36">
        <f t="shared" si="13"/>
        <v>0.29536200270073748</v>
      </c>
      <c r="AO4" s="36">
        <f>3.41214/AO3</f>
        <v>0.29307622933218808</v>
      </c>
      <c r="AP4" s="37"/>
      <c r="AR4" s="5"/>
      <c r="AS4" s="5"/>
      <c r="AT4" s="5"/>
    </row>
    <row r="5" spans="1:46" x14ac:dyDescent="0.2">
      <c r="A5" s="20">
        <f>'[1]CONSUMO ENERGETICO'!A79</f>
        <v>44256</v>
      </c>
      <c r="B5" s="21">
        <f>'[1]CONSUMO ENERGETICO'!F79</f>
        <v>1888.55</v>
      </c>
      <c r="C5" s="21">
        <f>'[1]CONSUMO ENERGETICO'!O79</f>
        <v>7579.13</v>
      </c>
      <c r="D5" s="21">
        <f>'[1]CONSUMO ENERGETICO'!W79</f>
        <v>13275.61</v>
      </c>
      <c r="E5" s="22">
        <f>'[1]CONSUMO ENERGETICO'!B79</f>
        <v>1246.5999999999999</v>
      </c>
      <c r="F5" s="22">
        <f>'[1]CONSUMO ENERGETICO'!L79</f>
        <v>3929.96</v>
      </c>
      <c r="G5" s="22">
        <f>'[1]CONSUMO ENERGETICO'!T79</f>
        <v>6727.93</v>
      </c>
      <c r="H5" s="23">
        <f>'[1]CONSUMO ENERGETICO'!K79</f>
        <v>6067.44</v>
      </c>
      <c r="I5" s="24">
        <f t="shared" si="0"/>
        <v>30027.772694879997</v>
      </c>
      <c r="J5" s="24">
        <f t="shared" si="1"/>
        <v>94663.842114528001</v>
      </c>
      <c r="K5" s="24">
        <f t="shared" si="2"/>
        <v>162060.60704882399</v>
      </c>
      <c r="L5" s="25">
        <f t="shared" si="3"/>
        <v>15.899908763273411</v>
      </c>
      <c r="M5" s="25">
        <f t="shared" si="3"/>
        <v>12.490067080855981</v>
      </c>
      <c r="N5" s="25">
        <f t="shared" si="3"/>
        <v>12.207394390828293</v>
      </c>
      <c r="O5" s="26">
        <f>+'[1]CONSUMO ENERGETICO'!J79</f>
        <v>94</v>
      </c>
      <c r="P5" s="26">
        <f>+'[1]CONSUMO ENERGETICO'!S79</f>
        <v>156</v>
      </c>
      <c r="Q5" s="26">
        <f>+'[1]CONSUMO ENERGETICO'!AA79</f>
        <v>255</v>
      </c>
      <c r="R5" s="27">
        <f t="shared" si="4"/>
        <v>20.09095744680851</v>
      </c>
      <c r="S5" s="27">
        <f t="shared" si="4"/>
        <v>48.584166666666668</v>
      </c>
      <c r="T5" s="27">
        <f t="shared" si="4"/>
        <v>52.061215686274515</v>
      </c>
      <c r="U5" s="28">
        <v>36</v>
      </c>
      <c r="V5" s="29">
        <v>72</v>
      </c>
      <c r="W5" s="29">
        <v>70</v>
      </c>
      <c r="X5" s="28">
        <f t="shared" si="5"/>
        <v>178</v>
      </c>
      <c r="Y5" s="30">
        <f t="shared" si="6"/>
        <v>15.325592327103198</v>
      </c>
      <c r="Z5" s="30">
        <f t="shared" si="7"/>
        <v>11.958527664189315</v>
      </c>
      <c r="AA5" s="30">
        <f t="shared" si="8"/>
        <v>11.850412582985156</v>
      </c>
      <c r="AB5" s="29"/>
      <c r="AC5" s="31">
        <f t="shared" si="9"/>
        <v>13.068534565491314</v>
      </c>
      <c r="AD5" s="31">
        <f t="shared" si="10"/>
        <v>26.109583923893613</v>
      </c>
      <c r="AE5" s="29"/>
      <c r="AF5" s="32">
        <f t="shared" si="11"/>
        <v>12.59698986745116</v>
      </c>
      <c r="AG5" s="32">
        <f t="shared" si="12"/>
        <v>27.086947246155109</v>
      </c>
      <c r="AI5" s="33"/>
      <c r="AL5" s="38"/>
      <c r="AR5" s="5"/>
      <c r="AS5" s="5"/>
      <c r="AT5" s="5"/>
    </row>
    <row r="6" spans="1:46" x14ac:dyDescent="0.2">
      <c r="A6" s="20">
        <f>'[1]CONSUMO ENERGETICO'!A80</f>
        <v>44287</v>
      </c>
      <c r="B6" s="21">
        <f>'[1]CONSUMO ENERGETICO'!F80</f>
        <v>4934.76</v>
      </c>
      <c r="C6" s="21">
        <f>'[1]CONSUMO ENERGETICO'!O80</f>
        <v>8604.07</v>
      </c>
      <c r="D6" s="21">
        <f>'[1]CONSUMO ENERGETICO'!W80</f>
        <v>10126.92</v>
      </c>
      <c r="E6" s="22">
        <f>'[1]CONSUMO ENERGETICO'!B80</f>
        <v>2631.6</v>
      </c>
      <c r="F6" s="22">
        <f>'[1]CONSUMO ENERGETICO'!L80</f>
        <v>4139.88</v>
      </c>
      <c r="G6" s="22">
        <f>'[1]CONSUMO ENERGETICO'!T80</f>
        <v>4942.7299999999996</v>
      </c>
      <c r="H6" s="23">
        <f>'[1]CONSUMO ENERGETICO'!K80</f>
        <v>5939.76</v>
      </c>
      <c r="I6" s="24">
        <f t="shared" si="0"/>
        <v>62055.357491520001</v>
      </c>
      <c r="J6" s="24">
        <f t="shared" si="1"/>
        <v>97621.877706336003</v>
      </c>
      <c r="K6" s="24">
        <f t="shared" si="2"/>
        <v>116553.76088085599</v>
      </c>
      <c r="L6" s="25">
        <f t="shared" si="3"/>
        <v>12.575152082678793</v>
      </c>
      <c r="M6" s="25">
        <f t="shared" si="3"/>
        <v>11.346011562706487</v>
      </c>
      <c r="N6" s="25">
        <f t="shared" si="3"/>
        <v>11.5093000518278</v>
      </c>
      <c r="O6" s="26">
        <f>+'[1]CONSUMO ENERGETICO'!J80</f>
        <v>183</v>
      </c>
      <c r="P6" s="26">
        <f>+'[1]CONSUMO ENERGETICO'!S80</f>
        <v>157</v>
      </c>
      <c r="Q6" s="26">
        <f>+'[1]CONSUMO ENERGETICO'!AA80</f>
        <v>185</v>
      </c>
      <c r="R6" s="27">
        <f t="shared" si="4"/>
        <v>26.965901639344263</v>
      </c>
      <c r="S6" s="27">
        <f t="shared" si="4"/>
        <v>54.802993630573248</v>
      </c>
      <c r="T6" s="27">
        <f t="shared" si="4"/>
        <v>54.74010810810811</v>
      </c>
      <c r="U6" s="28">
        <v>36</v>
      </c>
      <c r="V6" s="29">
        <v>72</v>
      </c>
      <c r="W6" s="29">
        <v>70</v>
      </c>
      <c r="X6" s="28">
        <f t="shared" si="5"/>
        <v>178</v>
      </c>
      <c r="Y6" s="30">
        <f t="shared" si="6"/>
        <v>12.24902113185912</v>
      </c>
      <c r="Z6" s="30">
        <f t="shared" si="7"/>
        <v>10.955639518120499</v>
      </c>
      <c r="AA6" s="30">
        <f t="shared" si="8"/>
        <v>11.205628203179153</v>
      </c>
      <c r="AB6" s="29"/>
      <c r="AC6" s="31">
        <f t="shared" si="9"/>
        <v>11.658816354602525</v>
      </c>
      <c r="AD6" s="31">
        <f t="shared" si="10"/>
        <v>29.266607314326524</v>
      </c>
      <c r="AE6" s="29"/>
      <c r="AF6" s="32">
        <f t="shared" si="11"/>
        <v>11.315532473450252</v>
      </c>
      <c r="AG6" s="32">
        <f t="shared" si="12"/>
        <v>30.154480206794847</v>
      </c>
      <c r="AI6" s="33"/>
      <c r="AL6" s="34">
        <v>12.3507</v>
      </c>
      <c r="AM6" s="34">
        <v>11.376099999999999</v>
      </c>
      <c r="AN6" s="34">
        <v>11.5524</v>
      </c>
      <c r="AO6" s="34">
        <v>11.6425</v>
      </c>
      <c r="AP6" s="35">
        <v>29.31</v>
      </c>
      <c r="AR6" s="5"/>
      <c r="AS6" s="5"/>
      <c r="AT6" s="5"/>
    </row>
    <row r="7" spans="1:46" x14ac:dyDescent="0.2">
      <c r="A7" s="20">
        <f>'[1]CONSUMO ENERGETICO'!A81</f>
        <v>44317</v>
      </c>
      <c r="B7" s="21">
        <f>'[1]CONSUMO ENERGETICO'!F81</f>
        <v>1202.56</v>
      </c>
      <c r="C7" s="21">
        <f>'[1]CONSUMO ENERGETICO'!O81</f>
        <v>2631.12</v>
      </c>
      <c r="D7" s="21">
        <f>'[1]CONSUMO ENERGETICO'!W81</f>
        <v>2408.69</v>
      </c>
      <c r="E7" s="22">
        <f>'[1]CONSUMO ENERGETICO'!B81</f>
        <v>641</v>
      </c>
      <c r="F7" s="22">
        <f>'[1]CONSUMO ENERGETICO'!L81</f>
        <v>1266</v>
      </c>
      <c r="G7" s="22">
        <f>'[1]CONSUMO ENERGETICO'!T81</f>
        <v>1175</v>
      </c>
      <c r="H7" s="23">
        <f>'[1]CONSUMO ENERGETICO'!K81</f>
        <v>5758.36</v>
      </c>
      <c r="I7" s="24">
        <f t="shared" si="0"/>
        <v>14653.7017772</v>
      </c>
      <c r="J7" s="24">
        <f t="shared" si="1"/>
        <v>28941.632527200003</v>
      </c>
      <c r="K7" s="24">
        <f t="shared" si="2"/>
        <v>26861.309810000002</v>
      </c>
      <c r="L7" s="25">
        <f t="shared" si="3"/>
        <v>12.185422579497073</v>
      </c>
      <c r="M7" s="25">
        <f t="shared" si="3"/>
        <v>10.999738714767858</v>
      </c>
      <c r="N7" s="25">
        <f t="shared" si="3"/>
        <v>11.151833490403497</v>
      </c>
      <c r="O7" s="26">
        <f>+'[1]CONSUMO ENERGETICO'!J81</f>
        <v>42</v>
      </c>
      <c r="P7" s="26">
        <f>+'[1]CONSUMO ENERGETICO'!S81</f>
        <v>43</v>
      </c>
      <c r="Q7" s="26">
        <f>+'[1]CONSUMO ENERGETICO'!AA81</f>
        <v>42</v>
      </c>
      <c r="R7" s="27">
        <f t="shared" si="4"/>
        <v>28.632380952380952</v>
      </c>
      <c r="S7" s="27">
        <f t="shared" si="4"/>
        <v>61.188837209302321</v>
      </c>
      <c r="T7" s="27">
        <f t="shared" si="4"/>
        <v>57.349761904761905</v>
      </c>
      <c r="U7" s="28">
        <v>36</v>
      </c>
      <c r="V7" s="29">
        <v>72</v>
      </c>
      <c r="W7" s="29">
        <v>70</v>
      </c>
      <c r="X7" s="28">
        <f t="shared" si="5"/>
        <v>178</v>
      </c>
      <c r="Y7" s="30">
        <f t="shared" si="6"/>
        <v>11.919451531878027</v>
      </c>
      <c r="Z7" s="30">
        <f t="shared" si="7"/>
        <v>10.754325319419021</v>
      </c>
      <c r="AA7" s="30">
        <f t="shared" si="8"/>
        <v>10.900093752308258</v>
      </c>
      <c r="AB7" s="29"/>
      <c r="AC7" s="31">
        <f t="shared" si="9"/>
        <v>11.299352498052951</v>
      </c>
      <c r="AD7" s="31">
        <f t="shared" si="10"/>
        <v>30.197659561359497</v>
      </c>
      <c r="AE7" s="29"/>
      <c r="AF7" s="32">
        <f t="shared" si="11"/>
        <v>11.047293487681777</v>
      </c>
      <c r="AG7" s="32">
        <f t="shared" si="12"/>
        <v>30.886660192423488</v>
      </c>
      <c r="AI7" s="33"/>
      <c r="AL7" s="34">
        <v>12.3507</v>
      </c>
      <c r="AM7" s="34">
        <v>11.376099999999999</v>
      </c>
      <c r="AN7" s="34">
        <v>11.5524</v>
      </c>
      <c r="AO7" s="34">
        <v>11.6425</v>
      </c>
      <c r="AP7" s="35">
        <v>29.31</v>
      </c>
      <c r="AQ7" s="40"/>
      <c r="AR7" s="5"/>
      <c r="AS7" s="5"/>
      <c r="AT7" s="5"/>
    </row>
    <row r="8" spans="1:46" x14ac:dyDescent="0.2">
      <c r="A8" s="20">
        <f>'[1]CONSUMO ENERGETICO'!A82</f>
        <v>44348</v>
      </c>
      <c r="B8" s="21">
        <f>'[1]CONSUMO ENERGETICO'!F82</f>
        <v>0</v>
      </c>
      <c r="C8" s="21">
        <f>'[1]CONSUMO ENERGETICO'!O82</f>
        <v>0</v>
      </c>
      <c r="D8" s="21">
        <f>'[1]CONSUMO ENERGETICO'!W82</f>
        <v>0</v>
      </c>
      <c r="E8" s="22">
        <f>'[1]CONSUMO ENERGETICO'!B82</f>
        <v>0</v>
      </c>
      <c r="F8" s="22">
        <f>'[1]CONSUMO ENERGETICO'!L82</f>
        <v>0</v>
      </c>
      <c r="G8" s="22">
        <f>'[1]CONSUMO ENERGETICO'!T82</f>
        <v>0</v>
      </c>
      <c r="H8" s="23"/>
      <c r="I8" s="24">
        <f t="shared" si="0"/>
        <v>0</v>
      </c>
      <c r="J8" s="24">
        <f t="shared" si="1"/>
        <v>0</v>
      </c>
      <c r="K8" s="24">
        <f t="shared" si="2"/>
        <v>0</v>
      </c>
      <c r="L8" s="25" t="e">
        <f t="shared" si="3"/>
        <v>#DIV/0!</v>
      </c>
      <c r="M8" s="25" t="e">
        <f t="shared" si="3"/>
        <v>#DIV/0!</v>
      </c>
      <c r="N8" s="25" t="e">
        <f t="shared" si="3"/>
        <v>#DIV/0!</v>
      </c>
      <c r="O8" s="26">
        <f>+'[1]CONSUMO ENERGETICO'!J82</f>
        <v>0</v>
      </c>
      <c r="P8" s="26">
        <f>+'[1]CONSUMO ENERGETICO'!S82</f>
        <v>0</v>
      </c>
      <c r="Q8" s="26">
        <f>+'[1]CONSUMO ENERGETICO'!AA82</f>
        <v>0</v>
      </c>
      <c r="R8" s="27" t="e">
        <f t="shared" si="4"/>
        <v>#DIV/0!</v>
      </c>
      <c r="S8" s="27" t="e">
        <f t="shared" si="4"/>
        <v>#DIV/0!</v>
      </c>
      <c r="T8" s="27" t="e">
        <f t="shared" si="4"/>
        <v>#DIV/0!</v>
      </c>
      <c r="U8" s="28">
        <v>36</v>
      </c>
      <c r="V8" s="29">
        <v>72</v>
      </c>
      <c r="W8" s="29">
        <v>70</v>
      </c>
      <c r="X8" s="28">
        <f t="shared" si="5"/>
        <v>178</v>
      </c>
      <c r="Y8" s="30" t="e">
        <f t="shared" si="6"/>
        <v>#DIV/0!</v>
      </c>
      <c r="Z8" s="30" t="e">
        <f t="shared" si="7"/>
        <v>#DIV/0!</v>
      </c>
      <c r="AA8" s="30" t="e">
        <f t="shared" si="8"/>
        <v>#DIV/0!</v>
      </c>
      <c r="AB8" s="29"/>
      <c r="AC8" s="31" t="e">
        <f t="shared" si="9"/>
        <v>#DIV/0!</v>
      </c>
      <c r="AD8" s="31" t="e">
        <f t="shared" si="10"/>
        <v>#DIV/0!</v>
      </c>
      <c r="AE8" s="29"/>
      <c r="AF8" s="32" t="e">
        <f t="shared" si="11"/>
        <v>#DIV/0!</v>
      </c>
      <c r="AG8" s="32" t="e">
        <f t="shared" si="12"/>
        <v>#DIV/0!</v>
      </c>
      <c r="AI8" s="33"/>
      <c r="AL8" s="34">
        <v>12.3507</v>
      </c>
      <c r="AM8" s="34">
        <v>11.376099999999999</v>
      </c>
      <c r="AN8" s="34">
        <v>11.5524</v>
      </c>
      <c r="AO8" s="34">
        <v>11.6425</v>
      </c>
      <c r="AP8" s="35">
        <v>29.31</v>
      </c>
      <c r="AR8" s="5"/>
      <c r="AS8" s="5"/>
      <c r="AT8" s="5"/>
    </row>
    <row r="9" spans="1:46" x14ac:dyDescent="0.2">
      <c r="A9" s="20">
        <f>'[1]CONSUMO ENERGETICO'!A83</f>
        <v>44378</v>
      </c>
      <c r="B9" s="21">
        <f>'[1]CONSUMO ENERGETICO'!F83</f>
        <v>0</v>
      </c>
      <c r="C9" s="21">
        <f>'[1]CONSUMO ENERGETICO'!O83</f>
        <v>0</v>
      </c>
      <c r="D9" s="21">
        <f>'[1]CONSUMO ENERGETICO'!W83</f>
        <v>8647.86</v>
      </c>
      <c r="E9" s="22">
        <f>'[1]CONSUMO ENERGETICO'!B83</f>
        <v>0</v>
      </c>
      <c r="F9" s="22">
        <f>'[1]CONSUMO ENERGETICO'!L83</f>
        <v>0</v>
      </c>
      <c r="G9" s="22">
        <f>'[1]CONSUMO ENERGETICO'!T83</f>
        <v>4102.93</v>
      </c>
      <c r="H9" s="23">
        <f>'[1]CONSUMO ENERGETICO'!K83</f>
        <v>5861.15</v>
      </c>
      <c r="I9" s="24">
        <f t="shared" si="0"/>
        <v>0</v>
      </c>
      <c r="J9" s="24">
        <f t="shared" si="1"/>
        <v>0</v>
      </c>
      <c r="K9" s="24">
        <f t="shared" si="2"/>
        <v>95470.116032915015</v>
      </c>
      <c r="L9" s="25" t="e">
        <f t="shared" si="3"/>
        <v>#DIV/0!</v>
      </c>
      <c r="M9" s="25" t="e">
        <f t="shared" si="3"/>
        <v>#DIV/0!</v>
      </c>
      <c r="N9" s="25">
        <f t="shared" si="3"/>
        <v>11.039738852492409</v>
      </c>
      <c r="O9" s="26">
        <f>+'[1]CONSUMO ENERGETICO'!J83</f>
        <v>0</v>
      </c>
      <c r="P9" s="26">
        <f>+'[1]CONSUMO ENERGETICO'!S83</f>
        <v>0</v>
      </c>
      <c r="Q9" s="26">
        <f>+'[1]CONSUMO ENERGETICO'!AA83</f>
        <v>247</v>
      </c>
      <c r="R9" s="27" t="e">
        <f t="shared" si="4"/>
        <v>#DIV/0!</v>
      </c>
      <c r="S9" s="27" t="e">
        <f t="shared" si="4"/>
        <v>#DIV/0!</v>
      </c>
      <c r="T9" s="27">
        <f t="shared" si="4"/>
        <v>35.01157894736842</v>
      </c>
      <c r="U9" s="28">
        <v>36</v>
      </c>
      <c r="V9" s="29">
        <v>72</v>
      </c>
      <c r="W9" s="29">
        <v>70</v>
      </c>
      <c r="X9" s="28">
        <f t="shared" si="5"/>
        <v>178</v>
      </c>
      <c r="Y9" s="30" t="e">
        <f t="shared" si="6"/>
        <v>#DIV/0!</v>
      </c>
      <c r="Z9" s="30" t="e">
        <f t="shared" si="7"/>
        <v>#DIV/0!</v>
      </c>
      <c r="AA9" s="30">
        <f t="shared" si="8"/>
        <v>10.34346927354504</v>
      </c>
      <c r="AB9" s="29"/>
      <c r="AC9" s="31">
        <f>N9</f>
        <v>11.039738852492409</v>
      </c>
      <c r="AD9" s="31">
        <f>3.41214/AC9*100</f>
        <v>30.907796330976172</v>
      </c>
      <c r="AE9" s="29"/>
      <c r="AF9" s="32">
        <f>AA9</f>
        <v>10.34346927354504</v>
      </c>
      <c r="AG9" s="32">
        <f>3.41214/AF9*100</f>
        <v>32.988351487900246</v>
      </c>
      <c r="AI9" s="33"/>
      <c r="AL9" s="34">
        <v>12.3507</v>
      </c>
      <c r="AM9" s="34">
        <v>11.376099999999999</v>
      </c>
      <c r="AN9" s="34">
        <v>11.5524</v>
      </c>
      <c r="AO9" s="34">
        <v>11.6425</v>
      </c>
      <c r="AP9" s="35">
        <v>29.31</v>
      </c>
      <c r="AR9" s="5"/>
      <c r="AS9" s="5"/>
      <c r="AT9" s="5"/>
    </row>
    <row r="10" spans="1:46" x14ac:dyDescent="0.2">
      <c r="A10" s="20">
        <f>'[1]CONSUMO ENERGETICO'!A84</f>
        <v>44409</v>
      </c>
      <c r="B10" s="21">
        <f>'[1]CONSUMO ENERGETICO'!F84</f>
        <v>2403.0500000000002</v>
      </c>
      <c r="C10" s="21">
        <f>'[1]CONSUMO ENERGETICO'!O84</f>
        <v>6064.58</v>
      </c>
      <c r="D10" s="21">
        <f>'[1]CONSUMO ENERGETICO'!W84</f>
        <v>4352.62</v>
      </c>
      <c r="E10" s="22">
        <f>'[1]CONSUMO ENERGETICO'!B84</f>
        <v>1612</v>
      </c>
      <c r="F10" s="22">
        <f>'[1]CONSUMO ENERGETICO'!L84</f>
        <v>2829.61</v>
      </c>
      <c r="G10" s="22">
        <f>'[1]CONSUMO ENERGETICO'!T84</f>
        <v>2152.3200000000002</v>
      </c>
      <c r="H10" s="23">
        <f>'[1]CONSUMO ENERGETICO'!K84</f>
        <v>6024.68</v>
      </c>
      <c r="I10" s="24">
        <f t="shared" si="0"/>
        <v>38555.783115200007</v>
      </c>
      <c r="J10" s="24">
        <f t="shared" si="1"/>
        <v>67678.554255956013</v>
      </c>
      <c r="K10" s="24">
        <f t="shared" si="2"/>
        <v>51479.145852672009</v>
      </c>
      <c r="L10" s="25">
        <f t="shared" si="3"/>
        <v>16.044519720854748</v>
      </c>
      <c r="M10" s="25">
        <f t="shared" si="3"/>
        <v>11.159644073613673</v>
      </c>
      <c r="N10" s="25">
        <f t="shared" si="3"/>
        <v>11.827162916283068</v>
      </c>
      <c r="O10" s="26">
        <f>+'[1]CONSUMO ENERGETICO'!J84</f>
        <v>143</v>
      </c>
      <c r="P10" s="26">
        <f>+'[1]CONSUMO ENERGETICO'!S84</f>
        <v>166</v>
      </c>
      <c r="Q10" s="26">
        <f>+'[1]CONSUMO ENERGETICO'!AA84</f>
        <v>129</v>
      </c>
      <c r="R10" s="27">
        <f t="shared" si="4"/>
        <v>16.804545454545455</v>
      </c>
      <c r="S10" s="27">
        <f t="shared" si="4"/>
        <v>36.533614457831327</v>
      </c>
      <c r="T10" s="27">
        <f t="shared" si="4"/>
        <v>33.741240310077515</v>
      </c>
      <c r="U10" s="28">
        <v>36</v>
      </c>
      <c r="V10" s="29">
        <v>72</v>
      </c>
      <c r="W10" s="29">
        <v>70</v>
      </c>
      <c r="X10" s="28">
        <f t="shared" si="5"/>
        <v>178</v>
      </c>
      <c r="Y10" s="30">
        <f t="shared" si="6"/>
        <v>15.351563811763839</v>
      </c>
      <c r="Z10" s="30">
        <f t="shared" si="7"/>
        <v>10.354557121806444</v>
      </c>
      <c r="AA10" s="30">
        <f t="shared" si="8"/>
        <v>11.10561359845361</v>
      </c>
      <c r="AB10" s="29"/>
      <c r="AC10" s="31">
        <f>L10*(U10/X10)+M10*(V10/X10)+N10*(W10/X10)</f>
        <v>12.410103861745899</v>
      </c>
      <c r="AD10" s="31">
        <f>3.41214/AC10*100</f>
        <v>27.494854499307692</v>
      </c>
      <c r="AE10" s="29"/>
      <c r="AF10" s="32">
        <f>+Y10*(U10/X10)+Z10*(V10/X10)+AA10*(W10/X10)</f>
        <v>11.660546976883792</v>
      </c>
      <c r="AG10" s="32">
        <f>3.41214/AF10*100</f>
        <v>29.262263655078325</v>
      </c>
      <c r="AI10" s="33"/>
      <c r="AR10" s="5"/>
      <c r="AS10" s="5"/>
      <c r="AT10" s="5"/>
    </row>
    <row r="11" spans="1:46" s="39" customFormat="1" x14ac:dyDescent="0.2">
      <c r="A11" s="20">
        <f>'[1]CONSUMO ENERGETICO'!A85</f>
        <v>44440</v>
      </c>
      <c r="B11" s="21">
        <f>'[1]CONSUMO ENERGETICO'!F85</f>
        <v>2509.3200000000002</v>
      </c>
      <c r="C11" s="21">
        <f>'[1]CONSUMO ENERGETICO'!O85</f>
        <v>7551.25</v>
      </c>
      <c r="D11" s="21">
        <f>'[1]CONSUMO ENERGETICO'!W85</f>
        <v>6972.27</v>
      </c>
      <c r="E11" s="22">
        <f>'[1]CONSUMO ENERGETICO'!B85</f>
        <v>1292.98</v>
      </c>
      <c r="F11" s="22">
        <f>'[1]CONSUMO ENERGETICO'!L85</f>
        <v>3576.17</v>
      </c>
      <c r="G11" s="22">
        <f>'[1]CONSUMO ENERGETICO'!T85</f>
        <v>3282.36</v>
      </c>
      <c r="H11" s="23">
        <f>'[1]CONSUMO ENERGETICO'!K85</f>
        <v>5991.33</v>
      </c>
      <c r="I11" s="24">
        <f t="shared" si="0"/>
        <v>30754.279357698</v>
      </c>
      <c r="J11" s="24">
        <f t="shared" si="1"/>
        <v>85061.277986217014</v>
      </c>
      <c r="K11" s="24">
        <f t="shared" si="2"/>
        <v>78072.836697035993</v>
      </c>
      <c r="L11" s="25">
        <f t="shared" si="3"/>
        <v>12.256021295688871</v>
      </c>
      <c r="M11" s="25">
        <f t="shared" si="3"/>
        <v>11.264529446941502</v>
      </c>
      <c r="N11" s="25">
        <f t="shared" si="3"/>
        <v>11.197620960897382</v>
      </c>
      <c r="O11" s="26">
        <f>+'[1]CONSUMO ENERGETICO'!J85</f>
        <v>114</v>
      </c>
      <c r="P11" s="26">
        <f>+'[1]CONSUMO ENERGETICO'!S85</f>
        <v>179</v>
      </c>
      <c r="Q11" s="26">
        <f>+'[1]CONSUMO ENERGETICO'!AA85</f>
        <v>157</v>
      </c>
      <c r="R11" s="27">
        <f t="shared" si="4"/>
        <v>22.011578947368424</v>
      </c>
      <c r="S11" s="27">
        <f t="shared" si="4"/>
        <v>42.185754189944134</v>
      </c>
      <c r="T11" s="27">
        <f t="shared" si="4"/>
        <v>44.409363057324846</v>
      </c>
      <c r="U11" s="28">
        <v>36</v>
      </c>
      <c r="V11" s="29">
        <v>72</v>
      </c>
      <c r="W11" s="29">
        <v>70</v>
      </c>
      <c r="X11" s="28">
        <f t="shared" si="5"/>
        <v>178</v>
      </c>
      <c r="Y11" s="30">
        <f t="shared" si="6"/>
        <v>11.751039295688871</v>
      </c>
      <c r="Z11" s="30">
        <f t="shared" si="7"/>
        <v>10.587746067053233</v>
      </c>
      <c r="AA11" s="30">
        <f t="shared" si="8"/>
        <v>10.688367285738146</v>
      </c>
      <c r="AB11" s="29"/>
      <c r="AC11" s="31">
        <f>L11*(U11/X11)+M11*(V11/X11)+N11*(W11/X11)</f>
        <v>11.438743562288789</v>
      </c>
      <c r="AD11" s="31">
        <f>3.41214/AC11*100</f>
        <v>29.829674748974455</v>
      </c>
      <c r="AE11" s="29"/>
      <c r="AF11" s="32">
        <f>+Y11*(U11/X11)+Z11*(V11/X11)+AA11*(W11/X11)</f>
        <v>10.862588997046643</v>
      </c>
      <c r="AG11" s="32">
        <f>3.41214/AF11*100</f>
        <v>31.411848509850682</v>
      </c>
      <c r="AI11" s="33"/>
      <c r="AR11" s="5"/>
      <c r="AS11" s="5"/>
      <c r="AT11" s="5"/>
    </row>
    <row r="12" spans="1:46" x14ac:dyDescent="0.2">
      <c r="A12" s="20">
        <f>'[1]CONSUMO ENERGETICO'!A86</f>
        <v>44470</v>
      </c>
      <c r="B12" s="21">
        <f>'[1]CONSUMO ENERGETICO'!F86</f>
        <v>4341.1067000000003</v>
      </c>
      <c r="C12" s="21">
        <f>'[1]CONSUMO ENERGETICO'!O86</f>
        <v>3909.2514999999999</v>
      </c>
      <c r="D12" s="21">
        <f>'[1]CONSUMO ENERGETICO'!W86</f>
        <v>3323.6664999999998</v>
      </c>
      <c r="E12" s="22">
        <f>'[1]CONSUMO ENERGETICO'!B86</f>
        <v>2429.35</v>
      </c>
      <c r="F12" s="22">
        <f>'[1]CONSUMO ENERGETICO'!L86</f>
        <v>1812.3500000000001</v>
      </c>
      <c r="G12" s="22">
        <f>'[1]CONSUMO ENERGETICO'!T86</f>
        <v>1674.62</v>
      </c>
      <c r="H12" s="23">
        <f>'[1]CONSUMO ENERGETICO'!K86</f>
        <v>5997.48</v>
      </c>
      <c r="I12" s="24">
        <f t="shared" si="0"/>
        <v>57842.812810859999</v>
      </c>
      <c r="J12" s="24">
        <f t="shared" si="1"/>
        <v>43152.045525660003</v>
      </c>
      <c r="K12" s="24">
        <f t="shared" si="2"/>
        <v>39872.694831672001</v>
      </c>
      <c r="L12" s="25">
        <f t="shared" si="3"/>
        <v>13.324439321166651</v>
      </c>
      <c r="M12" s="25">
        <f t="shared" si="3"/>
        <v>11.038441892433886</v>
      </c>
      <c r="N12" s="25">
        <f t="shared" si="3"/>
        <v>11.996599186973784</v>
      </c>
      <c r="O12" s="26">
        <f>+'[1]CONSUMO ENERGETICO'!J86</f>
        <v>223</v>
      </c>
      <c r="P12" s="26">
        <f>+'[1]CONSUMO ENERGETICO'!S86</f>
        <v>94</v>
      </c>
      <c r="Q12" s="26">
        <f>+'[1]CONSUMO ENERGETICO'!AA86</f>
        <v>102</v>
      </c>
      <c r="R12" s="27">
        <f t="shared" si="4"/>
        <v>19.46684618834081</v>
      </c>
      <c r="S12" s="27">
        <f t="shared" si="4"/>
        <v>41.587781914893618</v>
      </c>
      <c r="T12" s="27">
        <f t="shared" si="4"/>
        <v>32.584965686274508</v>
      </c>
      <c r="U12" s="28">
        <v>36</v>
      </c>
      <c r="V12" s="29">
        <v>72</v>
      </c>
      <c r="W12" s="29">
        <v>70</v>
      </c>
      <c r="X12" s="28">
        <f t="shared" si="5"/>
        <v>178</v>
      </c>
      <c r="Y12" s="30">
        <f t="shared" si="6"/>
        <v>12.727592468565753</v>
      </c>
      <c r="Z12" s="30">
        <f t="shared" si="7"/>
        <v>10.34808454190197</v>
      </c>
      <c r="AA12" s="30">
        <f t="shared" si="8"/>
        <v>11.252040004130647</v>
      </c>
      <c r="AB12" s="29"/>
      <c r="AC12" s="31">
        <f>L12*(U12/X12)+M12*(V12/X12)+N12*(W12/X12)</f>
        <v>11.877581881491034</v>
      </c>
      <c r="AD12" s="31">
        <f>3.41214/AC12*100</f>
        <v>28.727564533292551</v>
      </c>
      <c r="AE12" s="29"/>
      <c r="AF12" s="32">
        <f>+Y12*(U12/X12)+Z12*(V12/X12)+AA12*(W12/X12)</f>
        <v>11.184821439182329</v>
      </c>
      <c r="AG12" s="32">
        <f>3.41214/AF12*100</f>
        <v>30.50687951125169</v>
      </c>
      <c r="AH12" s="39"/>
      <c r="AI12" s="39"/>
      <c r="AJ12" s="39"/>
      <c r="AK12" s="39"/>
    </row>
    <row r="13" spans="1:46" x14ac:dyDescent="0.2">
      <c r="A13" s="20">
        <f>'[1]CONSUMO ENERGETICO'!A87</f>
        <v>44501</v>
      </c>
      <c r="B13" s="21"/>
      <c r="C13" s="21"/>
      <c r="D13" s="21"/>
      <c r="E13" s="22"/>
      <c r="F13" s="22"/>
      <c r="G13" s="22"/>
      <c r="H13" s="23"/>
      <c r="I13" s="24"/>
      <c r="J13" s="24"/>
      <c r="K13" s="24"/>
      <c r="L13" s="25"/>
      <c r="M13" s="25"/>
      <c r="N13" s="25"/>
      <c r="O13" s="41"/>
      <c r="P13" s="41"/>
      <c r="Q13" s="41"/>
      <c r="R13" s="27"/>
      <c r="S13" s="27"/>
      <c r="T13" s="27"/>
      <c r="U13" s="28"/>
      <c r="V13" s="29"/>
      <c r="W13" s="29"/>
      <c r="X13" s="28"/>
      <c r="Y13" s="30"/>
      <c r="Z13" s="30"/>
      <c r="AA13" s="30"/>
      <c r="AB13" s="29"/>
      <c r="AC13" s="31"/>
      <c r="AD13" s="31"/>
      <c r="AE13" s="29"/>
      <c r="AF13" s="32"/>
      <c r="AG13" s="32"/>
      <c r="AH13" s="39"/>
      <c r="AI13" s="39"/>
      <c r="AJ13" s="39"/>
      <c r="AK13" s="39"/>
    </row>
    <row r="14" spans="1:46" s="39" customFormat="1" x14ac:dyDescent="0.2">
      <c r="A14" s="20">
        <f>'[1]CONSUMO ENERGETICO'!A88</f>
        <v>44531</v>
      </c>
      <c r="B14" s="21"/>
      <c r="C14" s="21"/>
      <c r="D14" s="21"/>
      <c r="E14" s="22"/>
      <c r="F14" s="22"/>
      <c r="G14" s="22"/>
      <c r="H14" s="23"/>
      <c r="I14" s="24"/>
      <c r="J14" s="24"/>
      <c r="K14" s="24"/>
      <c r="L14" s="25"/>
      <c r="M14" s="25"/>
      <c r="N14" s="25"/>
      <c r="O14" s="41"/>
      <c r="P14" s="41"/>
      <c r="Q14" s="41"/>
      <c r="R14" s="27"/>
      <c r="S14" s="27"/>
      <c r="T14" s="27"/>
      <c r="U14" s="28"/>
      <c r="V14" s="29"/>
      <c r="W14" s="29"/>
      <c r="X14" s="28"/>
      <c r="Y14" s="30"/>
      <c r="Z14" s="30"/>
      <c r="AA14" s="30"/>
      <c r="AB14" s="29"/>
      <c r="AC14" s="31"/>
      <c r="AD14" s="31"/>
      <c r="AE14" s="29"/>
      <c r="AF14" s="32"/>
      <c r="AG14" s="32"/>
    </row>
    <row r="15" spans="1:46" ht="7.5" customHeight="1" x14ac:dyDescent="0.2">
      <c r="A15" s="42"/>
      <c r="B15" s="43"/>
      <c r="L15" s="45"/>
      <c r="M15" s="45"/>
      <c r="N15" s="45"/>
      <c r="O15" s="39"/>
      <c r="P15" s="39"/>
      <c r="Q15" s="39"/>
      <c r="R15" s="39"/>
      <c r="S15" s="39"/>
      <c r="T15" s="39"/>
      <c r="U15" s="46"/>
      <c r="V15" s="46"/>
      <c r="W15" s="46"/>
      <c r="X15" s="39"/>
      <c r="Y15" s="47"/>
      <c r="Z15" s="47"/>
      <c r="AA15" s="47"/>
      <c r="AB15" s="48"/>
      <c r="AC15" s="33"/>
      <c r="AD15" s="33"/>
      <c r="AE15" s="48"/>
      <c r="AF15" s="48"/>
      <c r="AG15" s="48"/>
      <c r="AH15" s="39"/>
      <c r="AI15" s="39"/>
      <c r="AJ15" s="39"/>
      <c r="AK15" s="39"/>
    </row>
    <row r="16" spans="1:46" ht="3.75" customHeight="1" thickBot="1" x14ac:dyDescent="0.25">
      <c r="A16" s="49"/>
      <c r="B16" s="43"/>
      <c r="L16" s="45"/>
      <c r="M16" s="45"/>
      <c r="N16" s="45"/>
      <c r="O16" s="39"/>
      <c r="P16" s="39"/>
      <c r="Q16" s="39"/>
      <c r="R16" s="39"/>
      <c r="S16" s="39"/>
      <c r="T16" s="39"/>
      <c r="U16" s="46"/>
      <c r="V16" s="46"/>
      <c r="W16" s="46"/>
      <c r="X16" s="39"/>
      <c r="Y16" s="47"/>
      <c r="Z16" s="47"/>
      <c r="AA16" s="47"/>
      <c r="AB16" s="48"/>
      <c r="AC16" s="33"/>
      <c r="AD16" s="33"/>
      <c r="AE16" s="48"/>
      <c r="AF16" s="48"/>
      <c r="AG16" s="48"/>
      <c r="AH16" s="39"/>
      <c r="AI16" s="39"/>
      <c r="AJ16" s="39"/>
      <c r="AK16" s="39"/>
    </row>
    <row r="17" spans="1:42" s="51" customFormat="1" ht="15" customHeight="1" thickBot="1" x14ac:dyDescent="0.25">
      <c r="A17" s="189" t="s">
        <v>21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1"/>
      <c r="AH17" s="50"/>
      <c r="AI17" s="50"/>
      <c r="AJ17" s="50"/>
      <c r="AK17" s="50"/>
      <c r="AL17" s="50"/>
      <c r="AM17" s="50"/>
      <c r="AN17" s="50"/>
      <c r="AO17" s="50"/>
      <c r="AP17" s="50"/>
    </row>
    <row r="18" spans="1:42" x14ac:dyDescent="0.2">
      <c r="A18" s="52">
        <v>44197</v>
      </c>
      <c r="B18" s="53">
        <f>+SUM(B$3)</f>
        <v>11981.16</v>
      </c>
      <c r="C18" s="53">
        <f t="shared" ref="C18:K18" si="14">+SUM(C$3)</f>
        <v>29564.38</v>
      </c>
      <c r="D18" s="53">
        <f t="shared" si="14"/>
        <v>35789.85</v>
      </c>
      <c r="E18" s="54">
        <f t="shared" si="14"/>
        <v>6625.79</v>
      </c>
      <c r="F18" s="54">
        <f t="shared" si="14"/>
        <v>14404.03</v>
      </c>
      <c r="G18" s="54">
        <f t="shared" si="14"/>
        <v>17395.439999999999</v>
      </c>
      <c r="H18" s="55">
        <f t="shared" ref="H18:H29" si="15">+H3</f>
        <v>6065.98</v>
      </c>
      <c r="I18" s="56">
        <f t="shared" si="14"/>
        <v>159561.88120807399</v>
      </c>
      <c r="J18" s="56">
        <f t="shared" si="14"/>
        <v>346876.99486061797</v>
      </c>
      <c r="K18" s="56">
        <f t="shared" si="14"/>
        <v>418915.95279086399</v>
      </c>
      <c r="L18" s="57">
        <f>+I18/B18</f>
        <v>13.317732273675837</v>
      </c>
      <c r="M18" s="57">
        <f t="shared" ref="M18:N29" si="16">+J18/C18</f>
        <v>11.732936556106299</v>
      </c>
      <c r="N18" s="57">
        <f t="shared" si="16"/>
        <v>11.704881489887887</v>
      </c>
      <c r="O18" s="58">
        <f>+SUM(O$3)</f>
        <v>408</v>
      </c>
      <c r="P18" s="58">
        <f>+SUM(P$3)</f>
        <v>464</v>
      </c>
      <c r="Q18" s="58">
        <f>+SUM(Q$3)</f>
        <v>584</v>
      </c>
      <c r="R18" s="59">
        <f>+B18/O18</f>
        <v>29.365588235294116</v>
      </c>
      <c r="S18" s="59">
        <f t="shared" ref="S18:T29" si="17">+C18/P18</f>
        <v>63.716336206896557</v>
      </c>
      <c r="T18" s="59">
        <f t="shared" si="17"/>
        <v>61.283989726027393</v>
      </c>
      <c r="U18" s="60">
        <v>36</v>
      </c>
      <c r="V18" s="61">
        <v>72</v>
      </c>
      <c r="W18" s="61">
        <v>70</v>
      </c>
      <c r="X18" s="60">
        <f t="shared" ref="X18:X29" si="18">+U18+V18+W18</f>
        <v>178</v>
      </c>
      <c r="Y18" s="62">
        <f>L18-(U18-R18)*0.0361</f>
        <v>13.078230008969955</v>
      </c>
      <c r="Z18" s="62">
        <f t="shared" ref="Z18:Z29" si="19">M18-(V18-S18)*0.0227</f>
        <v>11.544897388002852</v>
      </c>
      <c r="AA18" s="62">
        <f t="shared" ref="AA18:AA29" si="20">N18-(W18-T18)*0.0199</f>
        <v>11.531432885435832</v>
      </c>
      <c r="AB18" s="48"/>
      <c r="AC18" s="63">
        <f>L18*(U18/X18)+M18*(V18/X18)+N18*(W18/X18)</f>
        <v>12.042424147101887</v>
      </c>
      <c r="AD18" s="63">
        <f t="shared" ref="AD18:AD29" si="21">3.41214/AC18*100</f>
        <v>28.334328357145278</v>
      </c>
      <c r="AE18" s="48"/>
      <c r="AF18" s="64">
        <f>+Y18*(U18/X18)+Z18*(V18/X18)+AA18*(W18/X18)</f>
        <v>11.849714574379956</v>
      </c>
      <c r="AG18" s="64">
        <f t="shared" ref="AG18:AG29" si="22">3.41214/AF18*100</f>
        <v>28.795123954945918</v>
      </c>
      <c r="AH18" s="39"/>
      <c r="AI18" s="39"/>
      <c r="AJ18" s="39"/>
      <c r="AK18" s="39"/>
    </row>
    <row r="19" spans="1:42" x14ac:dyDescent="0.2">
      <c r="A19" s="65" t="s">
        <v>22</v>
      </c>
      <c r="B19" s="21">
        <f>+SUM(B$3:B4)</f>
        <v>30777.29</v>
      </c>
      <c r="C19" s="21">
        <f>+SUM(C$3:C4)</f>
        <v>70422.42</v>
      </c>
      <c r="D19" s="21">
        <f>+SUM(D$3:D4)</f>
        <v>75561.41</v>
      </c>
      <c r="E19" s="66">
        <f>+SUM(E$3:E4)</f>
        <v>16278.310000000001</v>
      </c>
      <c r="F19" s="66">
        <f>+SUM(F$3:F4)</f>
        <v>33815.65</v>
      </c>
      <c r="G19" s="66">
        <f>+SUM(G$3:G4)</f>
        <v>36887.99</v>
      </c>
      <c r="H19" s="67">
        <f t="shared" si="15"/>
        <v>6084.76</v>
      </c>
      <c r="I19" s="68">
        <f>+SUM(I$3:I4)</f>
        <v>392732.95356101799</v>
      </c>
      <c r="J19" s="68">
        <f>+SUM(J$3:J4)</f>
        <v>815793.73903808196</v>
      </c>
      <c r="K19" s="68">
        <f>+SUM(K$3:K4)</f>
        <v>889787.68228672398</v>
      </c>
      <c r="L19" s="25">
        <f t="shared" ref="L19:L29" si="23">+I19/B19</f>
        <v>12.760478702348971</v>
      </c>
      <c r="M19" s="25">
        <f t="shared" si="16"/>
        <v>11.58429004623928</v>
      </c>
      <c r="N19" s="25">
        <f t="shared" si="16"/>
        <v>11.775689234580508</v>
      </c>
      <c r="O19" s="69">
        <f>+SUM(O$3:O4)</f>
        <v>1001</v>
      </c>
      <c r="P19" s="69">
        <f>+SUM(P$3:P4)</f>
        <v>1056</v>
      </c>
      <c r="Q19" s="69">
        <f>+SUM(Q$3:Q4)</f>
        <v>1177</v>
      </c>
      <c r="R19" s="27">
        <f t="shared" ref="R19:R29" si="24">+B19/O19</f>
        <v>30.746543456543456</v>
      </c>
      <c r="S19" s="27">
        <f t="shared" si="17"/>
        <v>66.687897727272727</v>
      </c>
      <c r="T19" s="27">
        <f t="shared" si="17"/>
        <v>64.19830926083263</v>
      </c>
      <c r="U19" s="28">
        <v>36</v>
      </c>
      <c r="V19" s="29">
        <v>72</v>
      </c>
      <c r="W19" s="29">
        <v>70</v>
      </c>
      <c r="X19" s="28">
        <f t="shared" si="18"/>
        <v>178</v>
      </c>
      <c r="Y19" s="30">
        <f t="shared" ref="Y19:Y29" si="25">L19-(U19-R19)*0.0361</f>
        <v>12.57082892113019</v>
      </c>
      <c r="Z19" s="30">
        <f t="shared" si="19"/>
        <v>11.463705324648371</v>
      </c>
      <c r="AA19" s="30">
        <f t="shared" si="20"/>
        <v>11.660235588871076</v>
      </c>
      <c r="AB19" s="48"/>
      <c r="AC19" s="31">
        <f t="shared" ref="AC19:AC29" si="26">L19*(U19/X19)+M19*(V19/X19)+N19*(W19/X19)</f>
        <v>11.897440241766443</v>
      </c>
      <c r="AD19" s="31">
        <f t="shared" si="21"/>
        <v>28.679614527682563</v>
      </c>
      <c r="AE19" s="48"/>
      <c r="AF19" s="32">
        <f t="shared" ref="AF19:AF29" si="27">+Y19*(U19/X19)+Z19*(V19/X19)+AA19*(W19/X19)</f>
        <v>11.764905144698567</v>
      </c>
      <c r="AG19" s="32">
        <f t="shared" si="22"/>
        <v>29.002698772608117</v>
      </c>
      <c r="AH19" s="39"/>
      <c r="AI19" s="39"/>
      <c r="AJ19" s="39"/>
      <c r="AK19" s="39"/>
    </row>
    <row r="20" spans="1:42" s="39" customFormat="1" x14ac:dyDescent="0.2">
      <c r="A20" s="65" t="s">
        <v>23</v>
      </c>
      <c r="B20" s="21">
        <f>+SUM(B$3:B5)</f>
        <v>32665.84</v>
      </c>
      <c r="C20" s="21">
        <f>+SUM(C$3:C5)</f>
        <v>78001.55</v>
      </c>
      <c r="D20" s="21">
        <f>+SUM(D$3:D5)</f>
        <v>88837.02</v>
      </c>
      <c r="E20" s="66">
        <f>+SUM(E$3:E5)</f>
        <v>17524.91</v>
      </c>
      <c r="F20" s="66">
        <f>+SUM(F$3:F5)</f>
        <v>37745.61</v>
      </c>
      <c r="G20" s="66">
        <f>+SUM(G$3:G5)</f>
        <v>43615.92</v>
      </c>
      <c r="H20" s="67">
        <f t="shared" si="15"/>
        <v>6067.44</v>
      </c>
      <c r="I20" s="68">
        <f>+SUM(I$3:I5)</f>
        <v>422760.72625589801</v>
      </c>
      <c r="J20" s="68">
        <f>+SUM(J$3:J5)</f>
        <v>910457.58115261002</v>
      </c>
      <c r="K20" s="68">
        <f>+SUM(K$3:K5)</f>
        <v>1051848.2893355479</v>
      </c>
      <c r="L20" s="25">
        <f t="shared" si="23"/>
        <v>12.941982396775899</v>
      </c>
      <c r="M20" s="25">
        <f t="shared" si="16"/>
        <v>11.67230114212615</v>
      </c>
      <c r="N20" s="25">
        <f t="shared" si="16"/>
        <v>11.840202309077318</v>
      </c>
      <c r="O20" s="69">
        <f>+SUM(O$3:O5)</f>
        <v>1095</v>
      </c>
      <c r="P20" s="69">
        <f>+SUM(P$3:P5)</f>
        <v>1212</v>
      </c>
      <c r="Q20" s="69">
        <f>+SUM(Q$3:Q5)</f>
        <v>1432</v>
      </c>
      <c r="R20" s="27">
        <f t="shared" si="24"/>
        <v>29.831817351598172</v>
      </c>
      <c r="S20" s="27">
        <f t="shared" si="17"/>
        <v>64.357714521452152</v>
      </c>
      <c r="T20" s="27">
        <f t="shared" si="17"/>
        <v>62.037025139664806</v>
      </c>
      <c r="U20" s="28">
        <v>36</v>
      </c>
      <c r="V20" s="29">
        <v>72</v>
      </c>
      <c r="W20" s="29">
        <v>70</v>
      </c>
      <c r="X20" s="28">
        <f t="shared" si="18"/>
        <v>178</v>
      </c>
      <c r="Y20" s="30">
        <f t="shared" si="25"/>
        <v>12.719311003168592</v>
      </c>
      <c r="Z20" s="30">
        <f t="shared" si="19"/>
        <v>11.498821261763114</v>
      </c>
      <c r="AA20" s="30">
        <f t="shared" si="20"/>
        <v>11.681739109356648</v>
      </c>
      <c r="AB20" s="48"/>
      <c r="AC20" s="31">
        <f t="shared" si="26"/>
        <v>11.995119158159707</v>
      </c>
      <c r="AD20" s="31">
        <f t="shared" si="21"/>
        <v>28.446070064080057</v>
      </c>
      <c r="AE20" s="48"/>
      <c r="AF20" s="32">
        <f t="shared" si="27"/>
        <v>11.817595868629095</v>
      </c>
      <c r="AG20" s="32">
        <f t="shared" si="22"/>
        <v>28.873385398614303</v>
      </c>
    </row>
    <row r="21" spans="1:42" x14ac:dyDescent="0.2">
      <c r="A21" s="65" t="s">
        <v>24</v>
      </c>
      <c r="B21" s="21">
        <f>+SUM(B$3:B6)</f>
        <v>37600.6</v>
      </c>
      <c r="C21" s="21">
        <f>+SUM(C$3:C6)</f>
        <v>86605.62</v>
      </c>
      <c r="D21" s="21">
        <f>+SUM(D$3:D6)</f>
        <v>98963.94</v>
      </c>
      <c r="E21" s="66">
        <f>+SUM(E$3:E6)</f>
        <v>20156.509999999998</v>
      </c>
      <c r="F21" s="66">
        <f>+SUM(F$3:F6)</f>
        <v>41885.49</v>
      </c>
      <c r="G21" s="66">
        <f>+SUM(G$3:G6)</f>
        <v>48558.649999999994</v>
      </c>
      <c r="H21" s="67">
        <f t="shared" si="15"/>
        <v>5939.76</v>
      </c>
      <c r="I21" s="68">
        <f>+SUM(I$3:I6)</f>
        <v>484816.08374741802</v>
      </c>
      <c r="J21" s="68">
        <f>+SUM(J$3:J6)</f>
        <v>1008079.458858946</v>
      </c>
      <c r="K21" s="68">
        <f>+SUM(K$3:K6)</f>
        <v>1168402.050216404</v>
      </c>
      <c r="L21" s="25">
        <f t="shared" si="23"/>
        <v>12.893839027765994</v>
      </c>
      <c r="M21" s="25">
        <f t="shared" si="16"/>
        <v>11.639885019689785</v>
      </c>
      <c r="N21" s="25">
        <f t="shared" si="16"/>
        <v>11.806341281646668</v>
      </c>
      <c r="O21" s="69">
        <f>+SUM(O$3:O6)</f>
        <v>1278</v>
      </c>
      <c r="P21" s="69">
        <f>+SUM(P$3:P6)</f>
        <v>1369</v>
      </c>
      <c r="Q21" s="69">
        <f>+SUM(Q$3:Q6)</f>
        <v>1617</v>
      </c>
      <c r="R21" s="27">
        <f t="shared" si="24"/>
        <v>29.421439749608762</v>
      </c>
      <c r="S21" s="27">
        <f t="shared" si="17"/>
        <v>63.261957633308981</v>
      </c>
      <c r="T21" s="27">
        <f t="shared" si="17"/>
        <v>61.2021892393321</v>
      </c>
      <c r="U21" s="28">
        <v>36</v>
      </c>
      <c r="V21" s="29">
        <v>72</v>
      </c>
      <c r="W21" s="29">
        <v>70</v>
      </c>
      <c r="X21" s="28">
        <f t="shared" si="18"/>
        <v>178</v>
      </c>
      <c r="Y21" s="30">
        <f t="shared" si="25"/>
        <v>12.65635300272687</v>
      </c>
      <c r="Z21" s="30">
        <f t="shared" si="19"/>
        <v>11.441531457965899</v>
      </c>
      <c r="AA21" s="30">
        <f t="shared" si="20"/>
        <v>11.631264847509378</v>
      </c>
      <c r="AB21" s="48"/>
      <c r="AC21" s="31">
        <f t="shared" si="26"/>
        <v>11.958954023216332</v>
      </c>
      <c r="AD21" s="31">
        <f t="shared" si="21"/>
        <v>28.532093972231138</v>
      </c>
      <c r="AE21" s="48"/>
      <c r="AF21" s="32">
        <f t="shared" si="27"/>
        <v>11.761839957288586</v>
      </c>
      <c r="AG21" s="32">
        <f t="shared" si="22"/>
        <v>29.01025700392703</v>
      </c>
      <c r="AH21" s="39"/>
      <c r="AI21" s="39"/>
      <c r="AJ21" s="39"/>
      <c r="AK21" s="39"/>
    </row>
    <row r="22" spans="1:42" x14ac:dyDescent="0.2">
      <c r="A22" s="65" t="s">
        <v>25</v>
      </c>
      <c r="B22" s="21">
        <f>+SUM(B$3:B7)</f>
        <v>38803.159999999996</v>
      </c>
      <c r="C22" s="21">
        <f>+SUM(C$3:C7)</f>
        <v>89236.739999999991</v>
      </c>
      <c r="D22" s="21">
        <f>+SUM(D$3:D7)</f>
        <v>101372.63</v>
      </c>
      <c r="E22" s="66">
        <f>+SUM(E$3:E7)</f>
        <v>20797.509999999998</v>
      </c>
      <c r="F22" s="66">
        <f>+SUM(F$3:F7)</f>
        <v>43151.49</v>
      </c>
      <c r="G22" s="66">
        <f>+SUM(G$3:G7)</f>
        <v>49733.649999999994</v>
      </c>
      <c r="H22" s="67">
        <f t="shared" si="15"/>
        <v>5758.36</v>
      </c>
      <c r="I22" s="68">
        <f>+SUM(I$3:I7)</f>
        <v>499469.785524618</v>
      </c>
      <c r="J22" s="68">
        <f>+SUM(J$3:J7)</f>
        <v>1037021.091386146</v>
      </c>
      <c r="K22" s="68">
        <f>+SUM(K$3:K7)</f>
        <v>1195263.360026404</v>
      </c>
      <c r="L22" s="25">
        <f t="shared" si="23"/>
        <v>12.871884287893513</v>
      </c>
      <c r="M22" s="25">
        <f t="shared" si="16"/>
        <v>11.621010487229208</v>
      </c>
      <c r="N22" s="25">
        <f t="shared" si="16"/>
        <v>11.790789683826926</v>
      </c>
      <c r="O22" s="69">
        <f>+SUM(O$3:O7)</f>
        <v>1320</v>
      </c>
      <c r="P22" s="69">
        <f>+SUM(P$3:P7)</f>
        <v>1412</v>
      </c>
      <c r="Q22" s="69">
        <f>+SUM(Q$3:Q7)</f>
        <v>1659</v>
      </c>
      <c r="R22" s="27">
        <f t="shared" si="24"/>
        <v>29.396333333333331</v>
      </c>
      <c r="S22" s="27">
        <f t="shared" si="17"/>
        <v>63.198824362606224</v>
      </c>
      <c r="T22" s="27">
        <f t="shared" si="17"/>
        <v>61.104659433393614</v>
      </c>
      <c r="U22" s="28">
        <v>36</v>
      </c>
      <c r="V22" s="29">
        <v>72</v>
      </c>
      <c r="W22" s="29">
        <v>70</v>
      </c>
      <c r="X22" s="28">
        <f t="shared" si="18"/>
        <v>178</v>
      </c>
      <c r="Y22" s="30">
        <f t="shared" si="25"/>
        <v>12.633491921226847</v>
      </c>
      <c r="Z22" s="30">
        <f t="shared" si="19"/>
        <v>11.421223800260369</v>
      </c>
      <c r="AA22" s="30">
        <f t="shared" si="20"/>
        <v>11.613772406551458</v>
      </c>
      <c r="AB22" s="48"/>
      <c r="AC22" s="31">
        <f t="shared" si="26"/>
        <v>11.940763299508731</v>
      </c>
      <c r="AD22" s="31">
        <f t="shared" si="21"/>
        <v>28.575560158205153</v>
      </c>
      <c r="AE22" s="48"/>
      <c r="AF22" s="32">
        <f t="shared" si="27"/>
        <v>11.742122984502894</v>
      </c>
      <c r="AG22" s="32">
        <f t="shared" si="22"/>
        <v>29.058970038921405</v>
      </c>
      <c r="AH22" s="39"/>
      <c r="AI22" s="39"/>
      <c r="AJ22" s="39"/>
      <c r="AK22" s="39"/>
    </row>
    <row r="23" spans="1:42" x14ac:dyDescent="0.2">
      <c r="A23" s="65" t="s">
        <v>26</v>
      </c>
      <c r="B23" s="21">
        <f>+SUM(B$3:B8)</f>
        <v>38803.159999999996</v>
      </c>
      <c r="C23" s="21">
        <f>+SUM(C$3:C8)</f>
        <v>89236.739999999991</v>
      </c>
      <c r="D23" s="21">
        <f>+SUM(D$3:D8)</f>
        <v>101372.63</v>
      </c>
      <c r="E23" s="66">
        <f>+SUM(E$3:E8)</f>
        <v>20797.509999999998</v>
      </c>
      <c r="F23" s="66">
        <f>+SUM(F$3:F8)</f>
        <v>43151.49</v>
      </c>
      <c r="G23" s="66">
        <f>+SUM(G$3:G8)</f>
        <v>49733.649999999994</v>
      </c>
      <c r="H23" s="67">
        <f t="shared" si="15"/>
        <v>0</v>
      </c>
      <c r="I23" s="68">
        <f>+SUM(I$3:I8)</f>
        <v>499469.785524618</v>
      </c>
      <c r="J23" s="68">
        <f>+SUM(J$3:J8)</f>
        <v>1037021.091386146</v>
      </c>
      <c r="K23" s="68">
        <f>+SUM(K$3:K8)</f>
        <v>1195263.360026404</v>
      </c>
      <c r="L23" s="25">
        <f t="shared" si="23"/>
        <v>12.871884287893513</v>
      </c>
      <c r="M23" s="25">
        <f t="shared" si="16"/>
        <v>11.621010487229208</v>
      </c>
      <c r="N23" s="25">
        <f t="shared" si="16"/>
        <v>11.790789683826926</v>
      </c>
      <c r="O23" s="69">
        <f>+SUM(O$3:O8)</f>
        <v>1320</v>
      </c>
      <c r="P23" s="69">
        <f>+SUM(P$3:P8)</f>
        <v>1412</v>
      </c>
      <c r="Q23" s="69">
        <f>+SUM(Q$3:Q8)</f>
        <v>1659</v>
      </c>
      <c r="R23" s="27">
        <f t="shared" si="24"/>
        <v>29.396333333333331</v>
      </c>
      <c r="S23" s="27">
        <f t="shared" si="17"/>
        <v>63.198824362606224</v>
      </c>
      <c r="T23" s="27">
        <f t="shared" si="17"/>
        <v>61.104659433393614</v>
      </c>
      <c r="U23" s="28">
        <v>36</v>
      </c>
      <c r="V23" s="29">
        <v>72</v>
      </c>
      <c r="W23" s="29">
        <v>70</v>
      </c>
      <c r="X23" s="28">
        <f t="shared" si="18"/>
        <v>178</v>
      </c>
      <c r="Y23" s="30">
        <f t="shared" si="25"/>
        <v>12.633491921226847</v>
      </c>
      <c r="Z23" s="30">
        <f t="shared" si="19"/>
        <v>11.421223800260369</v>
      </c>
      <c r="AA23" s="30">
        <f t="shared" si="20"/>
        <v>11.613772406551458</v>
      </c>
      <c r="AB23" s="48"/>
      <c r="AC23" s="31">
        <f t="shared" si="26"/>
        <v>11.940763299508731</v>
      </c>
      <c r="AD23" s="31">
        <f t="shared" si="21"/>
        <v>28.575560158205153</v>
      </c>
      <c r="AE23" s="48"/>
      <c r="AF23" s="32">
        <f t="shared" si="27"/>
        <v>11.742122984502894</v>
      </c>
      <c r="AG23" s="32">
        <f t="shared" si="22"/>
        <v>29.058970038921405</v>
      </c>
      <c r="AH23" s="39"/>
      <c r="AI23" s="48"/>
      <c r="AJ23" s="48"/>
      <c r="AK23" s="48"/>
    </row>
    <row r="24" spans="1:42" x14ac:dyDescent="0.2">
      <c r="A24" s="65" t="s">
        <v>27</v>
      </c>
      <c r="B24" s="21">
        <f>+SUM(B$3:B9)</f>
        <v>38803.159999999996</v>
      </c>
      <c r="C24" s="21">
        <f>+SUM(C$3:C9)</f>
        <v>89236.739999999991</v>
      </c>
      <c r="D24" s="21">
        <f>+SUM(D$3:D9)</f>
        <v>110020.49</v>
      </c>
      <c r="E24" s="66">
        <f>+SUM(E$3:E9)</f>
        <v>20797.509999999998</v>
      </c>
      <c r="F24" s="66">
        <f>+SUM(F$3:F9)</f>
        <v>43151.49</v>
      </c>
      <c r="G24" s="66">
        <f>+SUM(G$3:G9)</f>
        <v>53836.579999999994</v>
      </c>
      <c r="H24" s="67">
        <f t="shared" si="15"/>
        <v>5861.15</v>
      </c>
      <c r="I24" s="68">
        <f>+SUM(I$3:I9)</f>
        <v>499469.785524618</v>
      </c>
      <c r="J24" s="68">
        <f>+SUM(J$3:J9)</f>
        <v>1037021.091386146</v>
      </c>
      <c r="K24" s="68">
        <f>+SUM(K$3:K9)</f>
        <v>1290733.476059319</v>
      </c>
      <c r="L24" s="25">
        <f t="shared" si="23"/>
        <v>12.871884287893513</v>
      </c>
      <c r="M24" s="25">
        <f t="shared" si="16"/>
        <v>11.621010487229208</v>
      </c>
      <c r="N24" s="25">
        <f t="shared" si="16"/>
        <v>11.731755385377022</v>
      </c>
      <c r="O24" s="69">
        <f>+SUM(O$3:O9)</f>
        <v>1320</v>
      </c>
      <c r="P24" s="69">
        <f>+SUM(P$3:P9)</f>
        <v>1412</v>
      </c>
      <c r="Q24" s="69">
        <f>+SUM(Q$3:Q9)</f>
        <v>1906</v>
      </c>
      <c r="R24" s="27">
        <f t="shared" si="24"/>
        <v>29.396333333333331</v>
      </c>
      <c r="S24" s="27">
        <f t="shared" si="17"/>
        <v>63.198824362606224</v>
      </c>
      <c r="T24" s="27">
        <f t="shared" si="17"/>
        <v>57.723237145855194</v>
      </c>
      <c r="U24" s="28">
        <v>36</v>
      </c>
      <c r="V24" s="29">
        <v>72</v>
      </c>
      <c r="W24" s="29">
        <v>70</v>
      </c>
      <c r="X24" s="28">
        <f t="shared" si="18"/>
        <v>178</v>
      </c>
      <c r="Y24" s="30">
        <f t="shared" si="25"/>
        <v>12.633491921226847</v>
      </c>
      <c r="Z24" s="30">
        <f t="shared" si="19"/>
        <v>11.421223800260369</v>
      </c>
      <c r="AA24" s="30">
        <f t="shared" si="20"/>
        <v>11.48744780457954</v>
      </c>
      <c r="AB24" s="48"/>
      <c r="AC24" s="31">
        <f t="shared" si="26"/>
        <v>11.917547564163264</v>
      </c>
      <c r="AD24" s="31">
        <f t="shared" si="21"/>
        <v>28.631226195064635</v>
      </c>
      <c r="AE24" s="48"/>
      <c r="AF24" s="32">
        <f t="shared" si="27"/>
        <v>11.692444770244276</v>
      </c>
      <c r="AG24" s="32">
        <f>3.41214/AF24*100</f>
        <v>29.182434187616984</v>
      </c>
      <c r="AH24" s="39"/>
      <c r="AI24" s="70"/>
      <c r="AJ24" s="71"/>
      <c r="AK24" s="70"/>
    </row>
    <row r="25" spans="1:42" x14ac:dyDescent="0.2">
      <c r="A25" s="65" t="s">
        <v>28</v>
      </c>
      <c r="B25" s="21">
        <f>+SUM(B$3:B10)</f>
        <v>41206.21</v>
      </c>
      <c r="C25" s="21">
        <f>+SUM(C$3:C10)</f>
        <v>95301.319999999992</v>
      </c>
      <c r="D25" s="21">
        <f>+SUM(D$3:D10)</f>
        <v>114373.11</v>
      </c>
      <c r="E25" s="66">
        <f>+SUM(E$3:E10)</f>
        <v>22409.51</v>
      </c>
      <c r="F25" s="66">
        <f>+SUM(F$3:F10)</f>
        <v>45981.1</v>
      </c>
      <c r="G25" s="66">
        <f>+SUM(G$3:G10)</f>
        <v>55988.899999999994</v>
      </c>
      <c r="H25" s="67">
        <f t="shared" si="15"/>
        <v>6024.68</v>
      </c>
      <c r="I25" s="68">
        <f>+SUM(I$3:I10)</f>
        <v>538025.568639818</v>
      </c>
      <c r="J25" s="68">
        <f>+SUM(J$3:J10)</f>
        <v>1104699.645642102</v>
      </c>
      <c r="K25" s="68">
        <f>+SUM(K$3:K10)</f>
        <v>1342212.6219119909</v>
      </c>
      <c r="L25" s="25">
        <f t="shared" si="23"/>
        <v>13.056904982035912</v>
      </c>
      <c r="M25" s="25">
        <f t="shared" si="16"/>
        <v>11.591651045778821</v>
      </c>
      <c r="N25" s="25">
        <f t="shared" si="16"/>
        <v>11.735386245175906</v>
      </c>
      <c r="O25" s="69">
        <f>+SUM(O$3:O10)</f>
        <v>1463</v>
      </c>
      <c r="P25" s="69">
        <f>+SUM(P$3:P10)</f>
        <v>1578</v>
      </c>
      <c r="Q25" s="69">
        <f>+SUM(Q$3:Q10)</f>
        <v>2035</v>
      </c>
      <c r="R25" s="27">
        <f t="shared" si="24"/>
        <v>28.165557074504441</v>
      </c>
      <c r="S25" s="27">
        <f t="shared" si="17"/>
        <v>60.393738910012672</v>
      </c>
      <c r="T25" s="27">
        <f t="shared" si="17"/>
        <v>56.203002457002455</v>
      </c>
      <c r="U25" s="28">
        <v>36</v>
      </c>
      <c r="V25" s="29">
        <v>72</v>
      </c>
      <c r="W25" s="29">
        <v>70</v>
      </c>
      <c r="X25" s="28">
        <f t="shared" si="18"/>
        <v>178</v>
      </c>
      <c r="Y25" s="30">
        <f t="shared" si="25"/>
        <v>12.774081592425523</v>
      </c>
      <c r="Z25" s="30">
        <f t="shared" si="19"/>
        <v>11.328188919036108</v>
      </c>
      <c r="AA25" s="30">
        <f t="shared" si="20"/>
        <v>11.460825994070255</v>
      </c>
      <c r="AB25" s="48"/>
      <c r="AC25" s="31">
        <f>L25*(U25/X25)+M25*(V25/X25)+N25*(W25/X25)</f>
        <v>11.94451961691956</v>
      </c>
      <c r="AD25" s="31">
        <f>3.41214/AC25*100</f>
        <v>28.566573704367826</v>
      </c>
      <c r="AE25" s="48"/>
      <c r="AF25" s="32">
        <f t="shared" si="27"/>
        <v>11.672777298218183</v>
      </c>
      <c r="AG25" s="32">
        <f>3.41214/AF25*100</f>
        <v>29.231603694870916</v>
      </c>
      <c r="AH25" s="39"/>
      <c r="AI25" s="72"/>
      <c r="AJ25" s="72"/>
      <c r="AK25" s="72"/>
    </row>
    <row r="26" spans="1:42" x14ac:dyDescent="0.2">
      <c r="A26" s="65" t="s">
        <v>29</v>
      </c>
      <c r="B26" s="21">
        <f>+SUM(B$3:B11)</f>
        <v>43715.53</v>
      </c>
      <c r="C26" s="21">
        <f>+SUM(C$3:C11)</f>
        <v>102852.56999999999</v>
      </c>
      <c r="D26" s="21">
        <f>+SUM(D$3:D11)</f>
        <v>121345.38</v>
      </c>
      <c r="E26" s="66">
        <f>+SUM(E$3:E11)</f>
        <v>23702.489999999998</v>
      </c>
      <c r="F26" s="66">
        <f>+SUM(F$3:F11)</f>
        <v>49557.27</v>
      </c>
      <c r="G26" s="66">
        <f>+SUM(G$3:G11)</f>
        <v>59271.259999999995</v>
      </c>
      <c r="H26" s="67">
        <f t="shared" si="15"/>
        <v>5991.33</v>
      </c>
      <c r="I26" s="68">
        <f>+SUM(I$3:I11)</f>
        <v>568779.84799751604</v>
      </c>
      <c r="J26" s="68">
        <f>+SUM(J$3:J11)</f>
        <v>1189760.9236283191</v>
      </c>
      <c r="K26" s="68">
        <f>+SUM(K$3:K11)</f>
        <v>1420285.4586090269</v>
      </c>
      <c r="L26" s="25">
        <f>+I26/B26</f>
        <v>13.010933368473768</v>
      </c>
      <c r="M26" s="25">
        <f t="shared" si="16"/>
        <v>11.567634368575517</v>
      </c>
      <c r="N26" s="25">
        <f t="shared" si="16"/>
        <v>11.704487295758824</v>
      </c>
      <c r="O26" s="69">
        <f>+SUM(O$3:O11)</f>
        <v>1577</v>
      </c>
      <c r="P26" s="69">
        <f>+SUM(P$3:P11)</f>
        <v>1757</v>
      </c>
      <c r="Q26" s="69">
        <f>+SUM(Q$3:Q11)</f>
        <v>2192</v>
      </c>
      <c r="R26" s="27">
        <f t="shared" si="24"/>
        <v>27.720691185795815</v>
      </c>
      <c r="S26" s="27">
        <f t="shared" si="17"/>
        <v>58.538742174160497</v>
      </c>
      <c r="T26" s="27">
        <f t="shared" si="17"/>
        <v>55.35829379562044</v>
      </c>
      <c r="U26" s="28">
        <v>36</v>
      </c>
      <c r="V26" s="29">
        <v>72</v>
      </c>
      <c r="W26" s="29">
        <v>70</v>
      </c>
      <c r="X26" s="28">
        <f t="shared" si="18"/>
        <v>178</v>
      </c>
      <c r="Y26" s="30">
        <f t="shared" si="25"/>
        <v>12.712050320280998</v>
      </c>
      <c r="Z26" s="30">
        <f t="shared" si="19"/>
        <v>11.262063815928959</v>
      </c>
      <c r="AA26" s="30">
        <f t="shared" si="20"/>
        <v>11.41311734229167</v>
      </c>
      <c r="AB26" s="48"/>
      <c r="AC26" s="31">
        <f t="shared" si="26"/>
        <v>11.913356103964105</v>
      </c>
      <c r="AD26" s="31">
        <f t="shared" si="21"/>
        <v>28.641299481215277</v>
      </c>
      <c r="AE26" s="48"/>
      <c r="AF26" s="32">
        <f t="shared" si="27"/>
        <v>11.61472258560347</v>
      </c>
      <c r="AG26" s="32">
        <f t="shared" si="22"/>
        <v>29.377714145573925</v>
      </c>
      <c r="AH26" s="39"/>
      <c r="AI26" s="48"/>
      <c r="AJ26" s="48"/>
      <c r="AK26" s="48"/>
    </row>
    <row r="27" spans="1:42" x14ac:dyDescent="0.2">
      <c r="A27" s="179" t="s">
        <v>30</v>
      </c>
      <c r="B27" s="180">
        <f>+SUM(B$3:B12)</f>
        <v>48056.636700000003</v>
      </c>
      <c r="C27" s="180">
        <f>+SUM(C$3:C12)</f>
        <v>106761.82149999999</v>
      </c>
      <c r="D27" s="180">
        <f>+SUM(D$3:D12)</f>
        <v>124669.04650000001</v>
      </c>
      <c r="E27" s="180">
        <f>+SUM(E$3:E12)</f>
        <v>26131.839999999997</v>
      </c>
      <c r="F27" s="180">
        <f>+SUM(F$3:F12)</f>
        <v>51369.619999999995</v>
      </c>
      <c r="G27" s="180">
        <f>+SUM(G$3:G12)</f>
        <v>60945.88</v>
      </c>
      <c r="H27" s="181">
        <f t="shared" si="15"/>
        <v>5997.48</v>
      </c>
      <c r="I27" s="180">
        <f>+SUM(I$3:I12)</f>
        <v>626622.66080837604</v>
      </c>
      <c r="J27" s="180">
        <f>+SUM(J$3:J12)</f>
        <v>1232912.9691539791</v>
      </c>
      <c r="K27" s="180">
        <f>+SUM(K$3:K12)</f>
        <v>1460158.1534406987</v>
      </c>
      <c r="L27" s="182">
        <f t="shared" si="23"/>
        <v>13.039253344343509</v>
      </c>
      <c r="M27" s="182">
        <f t="shared" si="16"/>
        <v>11.548257156271722</v>
      </c>
      <c r="N27" s="182">
        <f t="shared" si="16"/>
        <v>11.712274974692283</v>
      </c>
      <c r="O27" s="183">
        <f>+SUM(O$3:O12)</f>
        <v>1800</v>
      </c>
      <c r="P27" s="183">
        <f>+SUM(P$3:P12)</f>
        <v>1851</v>
      </c>
      <c r="Q27" s="183">
        <f>+SUM(Q$3:Q12)</f>
        <v>2294</v>
      </c>
      <c r="R27" s="181">
        <f t="shared" si="24"/>
        <v>26.698131500000002</v>
      </c>
      <c r="S27" s="181">
        <f t="shared" si="17"/>
        <v>57.677915451107502</v>
      </c>
      <c r="T27" s="181">
        <f t="shared" si="17"/>
        <v>54.345704664341767</v>
      </c>
      <c r="U27" s="184">
        <v>36</v>
      </c>
      <c r="V27" s="185">
        <v>72</v>
      </c>
      <c r="W27" s="185">
        <v>70</v>
      </c>
      <c r="X27" s="184">
        <f t="shared" si="18"/>
        <v>178</v>
      </c>
      <c r="Y27" s="181">
        <f t="shared" si="25"/>
        <v>12.703455891493508</v>
      </c>
      <c r="Z27" s="181">
        <f t="shared" si="19"/>
        <v>11.223145837011863</v>
      </c>
      <c r="AA27" s="181">
        <f t="shared" si="20"/>
        <v>11.400754497512684</v>
      </c>
      <c r="AB27" s="186"/>
      <c r="AC27" s="187">
        <f t="shared" si="26"/>
        <v>11.914308336384215</v>
      </c>
      <c r="AD27" s="187">
        <f t="shared" si="21"/>
        <v>28.639010370244666</v>
      </c>
      <c r="AE27" s="186"/>
      <c r="AF27" s="188">
        <f t="shared" si="27"/>
        <v>11.592380489800608</v>
      </c>
      <c r="AG27" s="188">
        <f t="shared" si="22"/>
        <v>29.434334069711767</v>
      </c>
      <c r="AH27" s="39"/>
      <c r="AI27" s="48"/>
      <c r="AJ27" s="48"/>
      <c r="AK27" s="48"/>
    </row>
    <row r="28" spans="1:42" x14ac:dyDescent="0.2">
      <c r="A28" s="65" t="s">
        <v>31</v>
      </c>
      <c r="B28" s="21">
        <f>+SUM(B$3:B13)</f>
        <v>48056.636700000003</v>
      </c>
      <c r="C28" s="21">
        <f>+SUM(C$3:C13)</f>
        <v>106761.82149999999</v>
      </c>
      <c r="D28" s="21">
        <f>+SUM(D$3:D13)</f>
        <v>124669.04650000001</v>
      </c>
      <c r="E28" s="66">
        <f>+SUM(E$3:E13)</f>
        <v>26131.839999999997</v>
      </c>
      <c r="F28" s="66">
        <f>+SUM(F$3:F13)</f>
        <v>51369.619999999995</v>
      </c>
      <c r="G28" s="66">
        <f>+SUM(G$3:G13)</f>
        <v>60945.88</v>
      </c>
      <c r="H28" s="67">
        <f t="shared" si="15"/>
        <v>0</v>
      </c>
      <c r="I28" s="68">
        <f>+SUM(I$3:I13)</f>
        <v>626622.66080837604</v>
      </c>
      <c r="J28" s="68">
        <f>+SUM(J$3:J13)</f>
        <v>1232912.9691539791</v>
      </c>
      <c r="K28" s="68">
        <f>+SUM(K$3:K13)</f>
        <v>1460158.1534406987</v>
      </c>
      <c r="L28" s="25">
        <f t="shared" si="23"/>
        <v>13.039253344343509</v>
      </c>
      <c r="M28" s="25">
        <f t="shared" si="16"/>
        <v>11.548257156271722</v>
      </c>
      <c r="N28" s="25">
        <f t="shared" si="16"/>
        <v>11.712274974692283</v>
      </c>
      <c r="O28" s="69">
        <f>+SUM(O$3:O13)</f>
        <v>1800</v>
      </c>
      <c r="P28" s="69">
        <f>+SUM(P$3:P13)</f>
        <v>1851</v>
      </c>
      <c r="Q28" s="69">
        <f>+SUM(Q$3:Q13)</f>
        <v>2294</v>
      </c>
      <c r="R28" s="27">
        <f t="shared" si="24"/>
        <v>26.698131500000002</v>
      </c>
      <c r="S28" s="27">
        <f t="shared" si="17"/>
        <v>57.677915451107502</v>
      </c>
      <c r="T28" s="27">
        <f t="shared" si="17"/>
        <v>54.345704664341767</v>
      </c>
      <c r="U28" s="28">
        <v>36</v>
      </c>
      <c r="V28" s="29">
        <v>72</v>
      </c>
      <c r="W28" s="29">
        <v>70</v>
      </c>
      <c r="X28" s="28">
        <f t="shared" si="18"/>
        <v>178</v>
      </c>
      <c r="Y28" s="30">
        <f t="shared" si="25"/>
        <v>12.703455891493508</v>
      </c>
      <c r="Z28" s="30">
        <f t="shared" si="19"/>
        <v>11.223145837011863</v>
      </c>
      <c r="AA28" s="30">
        <f t="shared" si="20"/>
        <v>11.400754497512684</v>
      </c>
      <c r="AB28" s="48"/>
      <c r="AC28" s="31">
        <f t="shared" si="26"/>
        <v>11.914308336384215</v>
      </c>
      <c r="AD28" s="31">
        <f t="shared" si="21"/>
        <v>28.639010370244666</v>
      </c>
      <c r="AE28" s="48"/>
      <c r="AF28" s="32">
        <f t="shared" si="27"/>
        <v>11.592380489800608</v>
      </c>
      <c r="AG28" s="32">
        <f t="shared" si="22"/>
        <v>29.434334069711767</v>
      </c>
      <c r="AH28" s="39"/>
      <c r="AI28" s="39"/>
      <c r="AJ28" s="39"/>
      <c r="AK28" s="39"/>
    </row>
    <row r="29" spans="1:42" s="48" customFormat="1" x14ac:dyDescent="0.2">
      <c r="A29" s="65" t="s">
        <v>32</v>
      </c>
      <c r="B29" s="21">
        <f>+SUM(B$3:B14)</f>
        <v>48056.636700000003</v>
      </c>
      <c r="C29" s="21">
        <f>+SUM(C$3:C14)</f>
        <v>106761.82149999999</v>
      </c>
      <c r="D29" s="21">
        <f>+SUM(D$3:D14)</f>
        <v>124669.04650000001</v>
      </c>
      <c r="E29" s="66">
        <f>+SUM(E$3:E14)</f>
        <v>26131.839999999997</v>
      </c>
      <c r="F29" s="66">
        <f>+SUM(F$3:F14)</f>
        <v>51369.619999999995</v>
      </c>
      <c r="G29" s="66">
        <f>+SUM(G$3:G14)</f>
        <v>60945.88</v>
      </c>
      <c r="H29" s="67">
        <f t="shared" si="15"/>
        <v>0</v>
      </c>
      <c r="I29" s="68">
        <f>+SUM(I$3:I14)</f>
        <v>626622.66080837604</v>
      </c>
      <c r="J29" s="68">
        <f>+SUM(J$3:J14)</f>
        <v>1232912.9691539791</v>
      </c>
      <c r="K29" s="68">
        <f>+SUM(K$3:K14)</f>
        <v>1460158.1534406987</v>
      </c>
      <c r="L29" s="25">
        <f t="shared" si="23"/>
        <v>13.039253344343509</v>
      </c>
      <c r="M29" s="25">
        <f t="shared" si="16"/>
        <v>11.548257156271722</v>
      </c>
      <c r="N29" s="25">
        <f t="shared" si="16"/>
        <v>11.712274974692283</v>
      </c>
      <c r="O29" s="69">
        <f>+SUM(O$3:O14)</f>
        <v>1800</v>
      </c>
      <c r="P29" s="69">
        <f>+SUM(P$3:P14)</f>
        <v>1851</v>
      </c>
      <c r="Q29" s="69">
        <f>+SUM(Q$3:Q14)</f>
        <v>2294</v>
      </c>
      <c r="R29" s="27">
        <f t="shared" si="24"/>
        <v>26.698131500000002</v>
      </c>
      <c r="S29" s="27">
        <f t="shared" si="17"/>
        <v>57.677915451107502</v>
      </c>
      <c r="T29" s="27">
        <f t="shared" si="17"/>
        <v>54.345704664341767</v>
      </c>
      <c r="U29" s="28">
        <v>36</v>
      </c>
      <c r="V29" s="29">
        <v>72</v>
      </c>
      <c r="W29" s="29">
        <v>70</v>
      </c>
      <c r="X29" s="28">
        <f t="shared" si="18"/>
        <v>178</v>
      </c>
      <c r="Y29" s="30">
        <f t="shared" si="25"/>
        <v>12.703455891493508</v>
      </c>
      <c r="Z29" s="30">
        <f t="shared" si="19"/>
        <v>11.223145837011863</v>
      </c>
      <c r="AA29" s="30">
        <f t="shared" si="20"/>
        <v>11.400754497512684</v>
      </c>
      <c r="AC29" s="31">
        <f t="shared" si="26"/>
        <v>11.914308336384215</v>
      </c>
      <c r="AD29" s="31">
        <f t="shared" si="21"/>
        <v>28.639010370244666</v>
      </c>
      <c r="AF29" s="32">
        <f t="shared" si="27"/>
        <v>11.592380489800608</v>
      </c>
      <c r="AG29" s="32">
        <f t="shared" si="22"/>
        <v>29.434334069711767</v>
      </c>
    </row>
    <row r="30" spans="1:42" s="48" customFormat="1" ht="13.5" thickBot="1" x14ac:dyDescent="0.25">
      <c r="A30" s="49"/>
      <c r="B30" s="73"/>
      <c r="E30" s="73"/>
      <c r="I30" s="74"/>
      <c r="J30" s="74"/>
      <c r="K30" s="74"/>
      <c r="L30" s="47"/>
      <c r="M30" s="47"/>
      <c r="N30" s="47"/>
      <c r="U30" s="75"/>
      <c r="V30" s="75"/>
      <c r="W30" s="75"/>
      <c r="X30" s="47"/>
      <c r="Y30" s="47"/>
      <c r="Z30" s="47"/>
      <c r="AA30" s="47"/>
    </row>
    <row r="31" spans="1:42" s="48" customFormat="1" ht="21" thickBot="1" x14ac:dyDescent="0.25">
      <c r="A31" s="189" t="s">
        <v>33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1"/>
    </row>
    <row r="32" spans="1:42" s="48" customFormat="1" x14ac:dyDescent="0.2">
      <c r="A32" s="49"/>
      <c r="B32" s="73"/>
      <c r="E32" s="73"/>
      <c r="I32" s="74"/>
      <c r="J32" s="74"/>
      <c r="K32" s="74"/>
      <c r="L32" s="47"/>
      <c r="M32" s="47"/>
      <c r="N32" s="47"/>
      <c r="U32" s="75"/>
      <c r="V32" s="75"/>
      <c r="W32" s="75"/>
      <c r="X32" s="47"/>
      <c r="Y32" s="47"/>
      <c r="Z32" s="47"/>
      <c r="AA32" s="47"/>
    </row>
    <row r="33" spans="1:33" s="48" customFormat="1" x14ac:dyDescent="0.2">
      <c r="A33" s="52" t="s">
        <v>34</v>
      </c>
      <c r="B33" s="53">
        <f>+B20</f>
        <v>32665.84</v>
      </c>
      <c r="C33" s="53">
        <f t="shared" ref="C33:AG33" si="28">+C20</f>
        <v>78001.55</v>
      </c>
      <c r="D33" s="53">
        <f t="shared" si="28"/>
        <v>88837.02</v>
      </c>
      <c r="E33" s="54">
        <f t="shared" si="28"/>
        <v>17524.91</v>
      </c>
      <c r="F33" s="54">
        <f t="shared" si="28"/>
        <v>37745.61</v>
      </c>
      <c r="G33" s="54">
        <f t="shared" si="28"/>
        <v>43615.92</v>
      </c>
      <c r="H33" s="55">
        <f t="shared" si="28"/>
        <v>6067.44</v>
      </c>
      <c r="I33" s="56">
        <f t="shared" si="28"/>
        <v>422760.72625589801</v>
      </c>
      <c r="J33" s="56">
        <f t="shared" si="28"/>
        <v>910457.58115261002</v>
      </c>
      <c r="K33" s="56">
        <f t="shared" si="28"/>
        <v>1051848.2893355479</v>
      </c>
      <c r="L33" s="57">
        <f t="shared" si="28"/>
        <v>12.941982396775899</v>
      </c>
      <c r="M33" s="57">
        <f t="shared" si="28"/>
        <v>11.67230114212615</v>
      </c>
      <c r="N33" s="57">
        <f t="shared" si="28"/>
        <v>11.840202309077318</v>
      </c>
      <c r="O33" s="58">
        <f t="shared" si="28"/>
        <v>1095</v>
      </c>
      <c r="P33" s="58">
        <f t="shared" si="28"/>
        <v>1212</v>
      </c>
      <c r="Q33" s="58">
        <f t="shared" si="28"/>
        <v>1432</v>
      </c>
      <c r="R33" s="59">
        <f t="shared" si="28"/>
        <v>29.831817351598172</v>
      </c>
      <c r="S33" s="59">
        <f t="shared" si="28"/>
        <v>64.357714521452152</v>
      </c>
      <c r="T33" s="59">
        <f t="shared" si="28"/>
        <v>62.037025139664806</v>
      </c>
      <c r="U33" s="60">
        <f t="shared" si="28"/>
        <v>36</v>
      </c>
      <c r="V33" s="61">
        <f t="shared" si="28"/>
        <v>72</v>
      </c>
      <c r="W33" s="61">
        <f t="shared" si="28"/>
        <v>70</v>
      </c>
      <c r="X33" s="60">
        <f t="shared" si="28"/>
        <v>178</v>
      </c>
      <c r="Y33" s="62">
        <f>+Y20</f>
        <v>12.719311003168592</v>
      </c>
      <c r="Z33" s="62">
        <f t="shared" si="28"/>
        <v>11.498821261763114</v>
      </c>
      <c r="AA33" s="62">
        <f t="shared" si="28"/>
        <v>11.681739109356648</v>
      </c>
      <c r="AC33" s="63">
        <f t="shared" si="28"/>
        <v>11.995119158159707</v>
      </c>
      <c r="AD33" s="63">
        <f t="shared" si="28"/>
        <v>28.446070064080057</v>
      </c>
      <c r="AF33" s="64">
        <f t="shared" si="28"/>
        <v>11.817595868629095</v>
      </c>
      <c r="AG33" s="64">
        <f t="shared" si="28"/>
        <v>28.873385398614303</v>
      </c>
    </row>
    <row r="34" spans="1:33" s="48" customFormat="1" x14ac:dyDescent="0.2">
      <c r="A34" s="52" t="s">
        <v>35</v>
      </c>
      <c r="B34" s="53">
        <f>+B23</f>
        <v>38803.159999999996</v>
      </c>
      <c r="C34" s="53">
        <f t="shared" ref="C34:AG34" si="29">+C23</f>
        <v>89236.739999999991</v>
      </c>
      <c r="D34" s="53">
        <f t="shared" si="29"/>
        <v>101372.63</v>
      </c>
      <c r="E34" s="54">
        <f t="shared" si="29"/>
        <v>20797.509999999998</v>
      </c>
      <c r="F34" s="54">
        <f t="shared" si="29"/>
        <v>43151.49</v>
      </c>
      <c r="G34" s="54">
        <f t="shared" si="29"/>
        <v>49733.649999999994</v>
      </c>
      <c r="H34" s="55">
        <f t="shared" si="29"/>
        <v>0</v>
      </c>
      <c r="I34" s="56">
        <f t="shared" si="29"/>
        <v>499469.785524618</v>
      </c>
      <c r="J34" s="56">
        <f t="shared" si="29"/>
        <v>1037021.091386146</v>
      </c>
      <c r="K34" s="56">
        <f t="shared" si="29"/>
        <v>1195263.360026404</v>
      </c>
      <c r="L34" s="57">
        <f t="shared" si="29"/>
        <v>12.871884287893513</v>
      </c>
      <c r="M34" s="57">
        <f t="shared" si="29"/>
        <v>11.621010487229208</v>
      </c>
      <c r="N34" s="57">
        <f t="shared" si="29"/>
        <v>11.790789683826926</v>
      </c>
      <c r="O34" s="58">
        <f t="shared" si="29"/>
        <v>1320</v>
      </c>
      <c r="P34" s="58">
        <f t="shared" si="29"/>
        <v>1412</v>
      </c>
      <c r="Q34" s="58">
        <f t="shared" si="29"/>
        <v>1659</v>
      </c>
      <c r="R34" s="59">
        <f t="shared" si="29"/>
        <v>29.396333333333331</v>
      </c>
      <c r="S34" s="59">
        <f t="shared" si="29"/>
        <v>63.198824362606224</v>
      </c>
      <c r="T34" s="59">
        <f t="shared" si="29"/>
        <v>61.104659433393614</v>
      </c>
      <c r="U34" s="60">
        <f t="shared" si="29"/>
        <v>36</v>
      </c>
      <c r="V34" s="61">
        <f t="shared" si="29"/>
        <v>72</v>
      </c>
      <c r="W34" s="61">
        <f t="shared" si="29"/>
        <v>70</v>
      </c>
      <c r="X34" s="60">
        <f t="shared" si="29"/>
        <v>178</v>
      </c>
      <c r="Y34" s="62">
        <f t="shared" si="29"/>
        <v>12.633491921226847</v>
      </c>
      <c r="Z34" s="62">
        <f t="shared" si="29"/>
        <v>11.421223800260369</v>
      </c>
      <c r="AA34" s="62">
        <f t="shared" si="29"/>
        <v>11.613772406551458</v>
      </c>
      <c r="AC34" s="63">
        <f t="shared" si="29"/>
        <v>11.940763299508731</v>
      </c>
      <c r="AD34" s="63">
        <f t="shared" si="29"/>
        <v>28.575560158205153</v>
      </c>
      <c r="AF34" s="64">
        <f t="shared" si="29"/>
        <v>11.742122984502894</v>
      </c>
      <c r="AG34" s="64">
        <f t="shared" si="29"/>
        <v>29.058970038921405</v>
      </c>
    </row>
    <row r="35" spans="1:33" s="48" customFormat="1" x14ac:dyDescent="0.2">
      <c r="A35" s="52" t="s">
        <v>36</v>
      </c>
      <c r="B35" s="53">
        <f>+B26</f>
        <v>43715.53</v>
      </c>
      <c r="C35" s="53">
        <f t="shared" ref="C35:AG35" si="30">+C26</f>
        <v>102852.56999999999</v>
      </c>
      <c r="D35" s="53">
        <f t="shared" si="30"/>
        <v>121345.38</v>
      </c>
      <c r="E35" s="54">
        <f t="shared" si="30"/>
        <v>23702.489999999998</v>
      </c>
      <c r="F35" s="54">
        <f t="shared" si="30"/>
        <v>49557.27</v>
      </c>
      <c r="G35" s="54">
        <f t="shared" si="30"/>
        <v>59271.259999999995</v>
      </c>
      <c r="H35" s="55">
        <f t="shared" si="30"/>
        <v>5991.33</v>
      </c>
      <c r="I35" s="56">
        <f t="shared" si="30"/>
        <v>568779.84799751604</v>
      </c>
      <c r="J35" s="56">
        <f t="shared" si="30"/>
        <v>1189760.9236283191</v>
      </c>
      <c r="K35" s="56">
        <f t="shared" si="30"/>
        <v>1420285.4586090269</v>
      </c>
      <c r="L35" s="57">
        <f t="shared" si="30"/>
        <v>13.010933368473768</v>
      </c>
      <c r="M35" s="57">
        <f t="shared" si="30"/>
        <v>11.567634368575517</v>
      </c>
      <c r="N35" s="57">
        <f t="shared" si="30"/>
        <v>11.704487295758824</v>
      </c>
      <c r="O35" s="58">
        <f t="shared" si="30"/>
        <v>1577</v>
      </c>
      <c r="P35" s="58">
        <f t="shared" si="30"/>
        <v>1757</v>
      </c>
      <c r="Q35" s="58">
        <f t="shared" si="30"/>
        <v>2192</v>
      </c>
      <c r="R35" s="59">
        <f t="shared" si="30"/>
        <v>27.720691185795815</v>
      </c>
      <c r="S35" s="59">
        <f t="shared" si="30"/>
        <v>58.538742174160497</v>
      </c>
      <c r="T35" s="59">
        <f t="shared" si="30"/>
        <v>55.35829379562044</v>
      </c>
      <c r="U35" s="60">
        <f t="shared" si="30"/>
        <v>36</v>
      </c>
      <c r="V35" s="61">
        <f t="shared" si="30"/>
        <v>72</v>
      </c>
      <c r="W35" s="61">
        <f t="shared" si="30"/>
        <v>70</v>
      </c>
      <c r="X35" s="60">
        <f t="shared" si="30"/>
        <v>178</v>
      </c>
      <c r="Y35" s="62">
        <f t="shared" si="30"/>
        <v>12.712050320280998</v>
      </c>
      <c r="Z35" s="62">
        <f t="shared" si="30"/>
        <v>11.262063815928959</v>
      </c>
      <c r="AA35" s="62">
        <f t="shared" si="30"/>
        <v>11.41311734229167</v>
      </c>
      <c r="AC35" s="63">
        <f t="shared" si="30"/>
        <v>11.913356103964105</v>
      </c>
      <c r="AD35" s="63">
        <f t="shared" si="30"/>
        <v>28.641299481215277</v>
      </c>
      <c r="AF35" s="64">
        <f t="shared" si="30"/>
        <v>11.61472258560347</v>
      </c>
      <c r="AG35" s="64">
        <f t="shared" si="30"/>
        <v>29.377714145573925</v>
      </c>
    </row>
    <row r="36" spans="1:33" s="48" customFormat="1" x14ac:dyDescent="0.2">
      <c r="A36" s="52" t="s">
        <v>37</v>
      </c>
      <c r="B36" s="53">
        <f>B29</f>
        <v>48056.636700000003</v>
      </c>
      <c r="C36" s="53">
        <f t="shared" ref="C36:AG36" si="31">C29</f>
        <v>106761.82149999999</v>
      </c>
      <c r="D36" s="53">
        <f t="shared" si="31"/>
        <v>124669.04650000001</v>
      </c>
      <c r="E36" s="54">
        <f t="shared" si="31"/>
        <v>26131.839999999997</v>
      </c>
      <c r="F36" s="54">
        <f t="shared" si="31"/>
        <v>51369.619999999995</v>
      </c>
      <c r="G36" s="54">
        <f t="shared" si="31"/>
        <v>60945.88</v>
      </c>
      <c r="H36" s="55">
        <f t="shared" si="31"/>
        <v>0</v>
      </c>
      <c r="I36" s="56">
        <f t="shared" si="31"/>
        <v>626622.66080837604</v>
      </c>
      <c r="J36" s="56">
        <f t="shared" si="31"/>
        <v>1232912.9691539791</v>
      </c>
      <c r="K36" s="56">
        <f t="shared" si="31"/>
        <v>1460158.1534406987</v>
      </c>
      <c r="L36" s="57">
        <f t="shared" si="31"/>
        <v>13.039253344343509</v>
      </c>
      <c r="M36" s="57">
        <f t="shared" si="31"/>
        <v>11.548257156271722</v>
      </c>
      <c r="N36" s="57">
        <f t="shared" si="31"/>
        <v>11.712274974692283</v>
      </c>
      <c r="O36" s="58">
        <f t="shared" si="31"/>
        <v>1800</v>
      </c>
      <c r="P36" s="58">
        <f t="shared" si="31"/>
        <v>1851</v>
      </c>
      <c r="Q36" s="58">
        <f t="shared" si="31"/>
        <v>2294</v>
      </c>
      <c r="R36" s="59">
        <f t="shared" si="31"/>
        <v>26.698131500000002</v>
      </c>
      <c r="S36" s="59">
        <f t="shared" si="31"/>
        <v>57.677915451107502</v>
      </c>
      <c r="T36" s="59">
        <f t="shared" si="31"/>
        <v>54.345704664341767</v>
      </c>
      <c r="U36" s="60">
        <f t="shared" si="31"/>
        <v>36</v>
      </c>
      <c r="V36" s="61">
        <f t="shared" si="31"/>
        <v>72</v>
      </c>
      <c r="W36" s="61">
        <f t="shared" si="31"/>
        <v>70</v>
      </c>
      <c r="X36" s="60">
        <f t="shared" si="31"/>
        <v>178</v>
      </c>
      <c r="Y36" s="62">
        <f t="shared" si="31"/>
        <v>12.703455891493508</v>
      </c>
      <c r="Z36" s="62">
        <f t="shared" si="31"/>
        <v>11.223145837011863</v>
      </c>
      <c r="AA36" s="62">
        <f t="shared" si="31"/>
        <v>11.400754497512684</v>
      </c>
      <c r="AC36" s="63">
        <f t="shared" si="31"/>
        <v>11.914308336384215</v>
      </c>
      <c r="AD36" s="63">
        <f t="shared" si="31"/>
        <v>28.639010370244666</v>
      </c>
      <c r="AF36" s="64">
        <f t="shared" si="31"/>
        <v>11.592380489800608</v>
      </c>
      <c r="AG36" s="64">
        <f t="shared" si="31"/>
        <v>29.434334069711767</v>
      </c>
    </row>
    <row r="37" spans="1:33" s="48" customFormat="1" hidden="1" x14ac:dyDescent="0.2">
      <c r="A37" s="49"/>
      <c r="B37" s="73"/>
      <c r="E37" s="73"/>
      <c r="I37" s="74"/>
      <c r="J37" s="74"/>
      <c r="K37" s="74"/>
      <c r="L37" s="47"/>
      <c r="M37" s="47"/>
      <c r="N37" s="47"/>
      <c r="U37" s="75"/>
      <c r="V37" s="75"/>
      <c r="W37" s="75"/>
      <c r="X37" s="47"/>
      <c r="Y37" s="47"/>
      <c r="Z37" s="47"/>
      <c r="AA37" s="47"/>
    </row>
    <row r="38" spans="1:33" s="48" customFormat="1" ht="51" hidden="1" customHeight="1" x14ac:dyDescent="0.2">
      <c r="A38" s="49"/>
      <c r="B38" s="73"/>
      <c r="E38" s="73"/>
      <c r="I38" s="74"/>
      <c r="J38" s="74"/>
      <c r="K38" s="74"/>
      <c r="L38" s="47"/>
      <c r="M38" s="76"/>
      <c r="N38" s="77" t="s">
        <v>38</v>
      </c>
      <c r="O38" s="78" t="s">
        <v>39</v>
      </c>
      <c r="P38" s="78" t="s">
        <v>40</v>
      </c>
      <c r="Q38" s="78" t="s">
        <v>41</v>
      </c>
      <c r="R38" s="79" t="s">
        <v>42</v>
      </c>
      <c r="S38" s="79" t="s">
        <v>43</v>
      </c>
      <c r="U38" s="75"/>
      <c r="V38" s="75"/>
      <c r="W38" s="75"/>
      <c r="X38" s="47"/>
      <c r="Y38" s="47"/>
      <c r="Z38" s="47"/>
      <c r="AA38" s="47"/>
    </row>
    <row r="39" spans="1:33" s="48" customFormat="1" hidden="1" x14ac:dyDescent="0.2">
      <c r="A39" s="49"/>
      <c r="B39" s="73"/>
      <c r="C39" s="80"/>
      <c r="D39" s="80"/>
      <c r="E39" s="73"/>
      <c r="F39" s="80"/>
      <c r="G39" s="80"/>
      <c r="H39" s="80"/>
      <c r="I39" s="81"/>
      <c r="J39" s="81"/>
      <c r="K39" s="81"/>
      <c r="L39" s="80"/>
      <c r="M39" s="82" t="s">
        <v>44</v>
      </c>
      <c r="N39" s="83">
        <f>(31+28+31)*24</f>
        <v>2160</v>
      </c>
      <c r="O39" s="84">
        <f>SUM(O3:O5)</f>
        <v>1095</v>
      </c>
      <c r="P39" s="84">
        <f t="shared" ref="P39:Q39" si="32">SUM(P3:P5)</f>
        <v>1212</v>
      </c>
      <c r="Q39" s="84">
        <f t="shared" si="32"/>
        <v>1432</v>
      </c>
      <c r="R39" s="85">
        <f t="shared" ref="R39:R44" si="33">(O39+P39+Q39)/(3*N39)</f>
        <v>0.57700617283950617</v>
      </c>
      <c r="S39" s="85">
        <f t="shared" ref="S39:S44" si="34">1-R39</f>
        <v>0.42299382716049383</v>
      </c>
      <c r="T39" s="80"/>
      <c r="U39" s="86"/>
      <c r="V39" s="86"/>
      <c r="W39" s="86"/>
      <c r="X39" s="80"/>
      <c r="Y39" s="80"/>
      <c r="Z39" s="80"/>
      <c r="AA39" s="80"/>
      <c r="AB39" s="80"/>
      <c r="AC39" s="80"/>
      <c r="AD39" s="80"/>
      <c r="AE39" s="80"/>
      <c r="AF39" s="80"/>
      <c r="AG39" s="80"/>
    </row>
    <row r="40" spans="1:33" s="48" customFormat="1" hidden="1" x14ac:dyDescent="0.2">
      <c r="A40" s="49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82" t="s">
        <v>45</v>
      </c>
      <c r="N40" s="83">
        <f>(30+31+30)*24</f>
        <v>2184</v>
      </c>
      <c r="O40" s="84">
        <f>SUM(O6:O8)</f>
        <v>225</v>
      </c>
      <c r="P40" s="84">
        <f t="shared" ref="P40:Q40" si="35">SUM(P6:P8)</f>
        <v>200</v>
      </c>
      <c r="Q40" s="84">
        <f t="shared" si="35"/>
        <v>227</v>
      </c>
      <c r="R40" s="85">
        <f t="shared" si="33"/>
        <v>9.9511599511599505E-2</v>
      </c>
      <c r="S40" s="85">
        <f t="shared" si="34"/>
        <v>0.90048840048840051</v>
      </c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</row>
    <row r="41" spans="1:33" s="48" customFormat="1" hidden="1" x14ac:dyDescent="0.2">
      <c r="A41" s="49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87" t="s">
        <v>46</v>
      </c>
      <c r="N41" s="83">
        <f>(31+28+31+30+31+30)*24</f>
        <v>4344</v>
      </c>
      <c r="O41" s="84">
        <f>SUM(O3:O8)</f>
        <v>1320</v>
      </c>
      <c r="P41" s="84">
        <f t="shared" ref="P41:Q41" si="36">SUM(P3:P8)</f>
        <v>1412</v>
      </c>
      <c r="Q41" s="84">
        <f t="shared" si="36"/>
        <v>1659</v>
      </c>
      <c r="R41" s="85">
        <f t="shared" si="33"/>
        <v>0.33693984039287905</v>
      </c>
      <c r="S41" s="85">
        <f t="shared" si="34"/>
        <v>0.66306015960712095</v>
      </c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</row>
    <row r="42" spans="1:33" s="48" customFormat="1" hidden="1" x14ac:dyDescent="0.2">
      <c r="A42" s="49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87" t="s">
        <v>47</v>
      </c>
      <c r="N42" s="83">
        <f>(31+31+30)*24</f>
        <v>2208</v>
      </c>
      <c r="O42" s="84">
        <f>SUM(O9:O11)</f>
        <v>257</v>
      </c>
      <c r="P42" s="84">
        <f t="shared" ref="P42:Q42" si="37">SUM(P9:P11)</f>
        <v>345</v>
      </c>
      <c r="Q42" s="84">
        <f t="shared" si="37"/>
        <v>533</v>
      </c>
      <c r="R42" s="85">
        <f t="shared" si="33"/>
        <v>0.17134661835748793</v>
      </c>
      <c r="S42" s="85">
        <f t="shared" si="34"/>
        <v>0.82865338164251212</v>
      </c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88"/>
      <c r="AG42" s="73"/>
    </row>
    <row r="43" spans="1:33" s="48" customFormat="1" hidden="1" x14ac:dyDescent="0.2">
      <c r="A43" s="49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87" t="s">
        <v>48</v>
      </c>
      <c r="N43" s="83">
        <f>(31+30+31)*24</f>
        <v>2208</v>
      </c>
      <c r="O43" s="84">
        <f>SUM(O12:O14)</f>
        <v>223</v>
      </c>
      <c r="P43" s="84">
        <f t="shared" ref="P43:Q43" si="38">SUM(P12:P14)</f>
        <v>94</v>
      </c>
      <c r="Q43" s="84">
        <f t="shared" si="38"/>
        <v>102</v>
      </c>
      <c r="R43" s="85">
        <f t="shared" si="33"/>
        <v>6.3254830917874399E-2</v>
      </c>
      <c r="S43" s="85">
        <f t="shared" si="34"/>
        <v>0.93674516908212557</v>
      </c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</row>
    <row r="44" spans="1:33" s="48" customFormat="1" ht="15" hidden="1" customHeight="1" x14ac:dyDescent="0.2">
      <c r="A44" s="89"/>
      <c r="B44" s="73"/>
      <c r="C44" s="80"/>
      <c r="D44" s="80"/>
      <c r="E44" s="73"/>
      <c r="F44" s="80"/>
      <c r="G44" s="80"/>
      <c r="H44" s="80"/>
      <c r="I44" s="81"/>
      <c r="J44" s="81"/>
      <c r="K44" s="81"/>
      <c r="L44" s="80"/>
      <c r="M44" s="90" t="s">
        <v>49</v>
      </c>
      <c r="N44" s="91">
        <f>N39+N40+N42+N43</f>
        <v>8760</v>
      </c>
      <c r="O44" s="91">
        <f>SUM(O3:O14)</f>
        <v>1800</v>
      </c>
      <c r="P44" s="91">
        <f t="shared" ref="P44:Q44" si="39">SUM(P3:P14)</f>
        <v>1851</v>
      </c>
      <c r="Q44" s="91">
        <f t="shared" si="39"/>
        <v>2294</v>
      </c>
      <c r="R44" s="92">
        <f t="shared" si="33"/>
        <v>0.22621765601217655</v>
      </c>
      <c r="S44" s="92">
        <f t="shared" si="34"/>
        <v>0.77378234398782342</v>
      </c>
      <c r="T44" s="80"/>
      <c r="U44" s="86"/>
      <c r="V44" s="86"/>
      <c r="W44" s="86"/>
      <c r="X44" s="80"/>
      <c r="Y44" s="80"/>
      <c r="Z44" s="80"/>
      <c r="AA44" s="80"/>
      <c r="AB44" s="80"/>
      <c r="AC44" s="80"/>
      <c r="AD44" s="80"/>
      <c r="AE44" s="80"/>
      <c r="AF44" s="80"/>
      <c r="AG44" s="80"/>
    </row>
    <row r="45" spans="1:33" s="48" customFormat="1" ht="13.5" hidden="1" customHeight="1" x14ac:dyDescent="0.2">
      <c r="A45" s="49"/>
      <c r="B45" s="73"/>
      <c r="E45" s="73"/>
      <c r="I45" s="74"/>
      <c r="J45" s="74"/>
      <c r="K45" s="74"/>
      <c r="L45" s="47"/>
      <c r="M45" s="72"/>
      <c r="N45" s="93">
        <f>365*24</f>
        <v>8760</v>
      </c>
      <c r="O45" s="71"/>
      <c r="P45" s="71"/>
      <c r="Q45" s="71"/>
      <c r="R45" s="71"/>
      <c r="S45" s="71"/>
      <c r="U45" s="75"/>
      <c r="V45" s="75"/>
      <c r="W45" s="75"/>
      <c r="X45" s="47"/>
      <c r="Y45" s="47"/>
      <c r="Z45" s="47"/>
      <c r="AA45" s="47"/>
    </row>
    <row r="46" spans="1:33" s="48" customFormat="1" hidden="1" x14ac:dyDescent="0.2">
      <c r="A46" s="49"/>
      <c r="B46" s="73"/>
      <c r="E46" s="73"/>
      <c r="I46" s="74"/>
      <c r="J46" s="74"/>
      <c r="K46" s="74"/>
      <c r="L46" s="47"/>
      <c r="M46" s="47"/>
      <c r="N46" s="47"/>
      <c r="U46" s="75"/>
      <c r="V46" s="75"/>
      <c r="W46" s="75"/>
      <c r="X46" s="47"/>
      <c r="Y46" s="47"/>
      <c r="Z46" s="47"/>
      <c r="AA46" s="47"/>
    </row>
    <row r="47" spans="1:33" s="48" customFormat="1" hidden="1" x14ac:dyDescent="0.2">
      <c r="A47" s="49"/>
      <c r="B47" s="73"/>
      <c r="E47" s="73"/>
      <c r="I47" s="74"/>
      <c r="J47" s="74"/>
      <c r="K47" s="20">
        <v>44197</v>
      </c>
      <c r="L47" s="94">
        <f>3.41214/L18</f>
        <v>0.25621028639722104</v>
      </c>
      <c r="M47" s="94">
        <f t="shared" ref="M47:N47" si="40">3.41214/M18</f>
        <v>0.29081722070884147</v>
      </c>
      <c r="N47" s="94">
        <f t="shared" si="40"/>
        <v>0.29151427145570208</v>
      </c>
      <c r="U47" s="75"/>
      <c r="V47" s="75"/>
      <c r="W47" s="75"/>
      <c r="X47" s="47"/>
      <c r="Y47" s="47"/>
      <c r="Z47" s="47"/>
      <c r="AA47" s="47"/>
    </row>
    <row r="48" spans="1:33" s="48" customFormat="1" hidden="1" x14ac:dyDescent="0.2">
      <c r="A48" s="49"/>
      <c r="B48" s="73"/>
      <c r="E48" s="73"/>
      <c r="I48" s="74"/>
      <c r="J48" s="74"/>
      <c r="K48" s="20">
        <v>44228</v>
      </c>
      <c r="L48" s="94">
        <f t="shared" ref="L48:N55" si="41">3.41214/L19</f>
        <v>0.26739905920393781</v>
      </c>
      <c r="M48" s="94">
        <f t="shared" si="41"/>
        <v>0.29454890946102613</v>
      </c>
      <c r="N48" s="94">
        <f t="shared" si="41"/>
        <v>0.28976138313670036</v>
      </c>
      <c r="U48" s="75"/>
      <c r="V48" s="75"/>
      <c r="W48" s="75"/>
      <c r="X48" s="47"/>
      <c r="Y48" s="47"/>
      <c r="Z48" s="47"/>
      <c r="AA48" s="47"/>
    </row>
    <row r="49" spans="1:43" s="48" customFormat="1" hidden="1" x14ac:dyDescent="0.2">
      <c r="A49" s="49"/>
      <c r="B49" s="73"/>
      <c r="E49" s="73"/>
      <c r="I49" s="74"/>
      <c r="J49" s="74"/>
      <c r="K49" s="20">
        <v>44256</v>
      </c>
      <c r="L49" s="94">
        <f t="shared" si="41"/>
        <v>0.26364894460450128</v>
      </c>
      <c r="M49" s="94">
        <f t="shared" si="41"/>
        <v>0.29232796159493762</v>
      </c>
      <c r="N49" s="94">
        <f t="shared" si="41"/>
        <v>0.28818257584873147</v>
      </c>
      <c r="U49" s="75"/>
      <c r="V49" s="75"/>
      <c r="W49" s="75"/>
      <c r="X49" s="47"/>
      <c r="Y49" s="47"/>
      <c r="Z49" s="47"/>
      <c r="AA49" s="47"/>
    </row>
    <row r="50" spans="1:43" s="48" customFormat="1" hidden="1" x14ac:dyDescent="0.2">
      <c r="A50" s="49"/>
      <c r="B50" s="73"/>
      <c r="E50" s="73"/>
      <c r="I50" s="74"/>
      <c r="J50" s="74"/>
      <c r="K50" s="20">
        <v>44287</v>
      </c>
      <c r="L50" s="94">
        <f t="shared" si="41"/>
        <v>0.26463336424878514</v>
      </c>
      <c r="M50" s="94">
        <f t="shared" si="41"/>
        <v>0.29314207092493572</v>
      </c>
      <c r="N50" s="94">
        <f t="shared" si="41"/>
        <v>0.289009094231782</v>
      </c>
      <c r="U50" s="75"/>
      <c r="V50" s="75"/>
      <c r="W50" s="75"/>
      <c r="X50" s="47"/>
      <c r="Y50" s="47"/>
      <c r="Z50" s="47"/>
      <c r="AA50" s="47"/>
    </row>
    <row r="51" spans="1:43" s="48" customFormat="1" hidden="1" x14ac:dyDescent="0.2">
      <c r="A51" s="49"/>
      <c r="B51" s="73"/>
      <c r="E51" s="73"/>
      <c r="I51" s="74"/>
      <c r="J51" s="74"/>
      <c r="K51" s="20">
        <v>44317</v>
      </c>
      <c r="L51" s="94">
        <f t="shared" si="41"/>
        <v>0.26508473224928264</v>
      </c>
      <c r="M51" s="94">
        <f t="shared" si="41"/>
        <v>0.29361818438678261</v>
      </c>
      <c r="N51" s="94">
        <f t="shared" si="41"/>
        <v>0.28939028610444389</v>
      </c>
      <c r="U51" s="75"/>
      <c r="V51" s="75"/>
      <c r="W51" s="75"/>
      <c r="X51" s="47"/>
      <c r="Y51" s="47"/>
      <c r="Z51" s="47"/>
      <c r="AA51" s="47"/>
    </row>
    <row r="52" spans="1:43" s="48" customFormat="1" hidden="1" x14ac:dyDescent="0.2">
      <c r="A52" s="49"/>
      <c r="B52" s="73"/>
      <c r="E52" s="73"/>
      <c r="I52" s="74"/>
      <c r="J52" s="74"/>
      <c r="K52" s="20">
        <v>44348</v>
      </c>
      <c r="L52" s="94">
        <f t="shared" si="41"/>
        <v>0.26508473224928264</v>
      </c>
      <c r="M52" s="94">
        <f t="shared" si="41"/>
        <v>0.29361818438678261</v>
      </c>
      <c r="N52" s="94">
        <f t="shared" si="41"/>
        <v>0.28939028610444389</v>
      </c>
      <c r="U52" s="75"/>
      <c r="V52" s="75"/>
      <c r="W52" s="75"/>
      <c r="X52" s="47"/>
      <c r="Y52" s="47"/>
      <c r="Z52" s="47"/>
      <c r="AA52" s="47"/>
    </row>
    <row r="53" spans="1:43" s="48" customFormat="1" hidden="1" x14ac:dyDescent="0.2">
      <c r="A53" s="49"/>
      <c r="B53" s="73"/>
      <c r="E53" s="73"/>
      <c r="I53" s="74"/>
      <c r="J53" s="74"/>
      <c r="K53" s="20">
        <v>44378</v>
      </c>
      <c r="L53" s="94">
        <f t="shared" si="41"/>
        <v>0.26508473224928264</v>
      </c>
      <c r="M53" s="94">
        <f t="shared" si="41"/>
        <v>0.29361818438678261</v>
      </c>
      <c r="N53" s="94">
        <f t="shared" si="41"/>
        <v>0.29084650062283446</v>
      </c>
      <c r="U53" s="75"/>
      <c r="V53" s="75"/>
      <c r="W53" s="75"/>
      <c r="X53" s="47"/>
      <c r="Y53" s="47"/>
      <c r="Z53" s="47"/>
      <c r="AA53" s="47"/>
    </row>
    <row r="54" spans="1:43" s="39" customFormat="1" hidden="1" x14ac:dyDescent="0.2">
      <c r="A54" s="49"/>
      <c r="B54" s="73"/>
      <c r="C54" s="73"/>
      <c r="D54" s="73"/>
      <c r="E54" s="80"/>
      <c r="F54" s="80"/>
      <c r="G54" s="80"/>
      <c r="H54" s="47"/>
      <c r="I54" s="74"/>
      <c r="J54" s="74"/>
      <c r="K54" s="20">
        <v>44409</v>
      </c>
      <c r="L54" s="94">
        <f t="shared" si="41"/>
        <v>0.26132839326735746</v>
      </c>
      <c r="M54" s="94">
        <f t="shared" si="41"/>
        <v>0.29436186325178881</v>
      </c>
      <c r="N54" s="94">
        <f t="shared" si="41"/>
        <v>0.29075651441831635</v>
      </c>
      <c r="O54" s="95"/>
      <c r="P54" s="95"/>
      <c r="Q54" s="95"/>
      <c r="R54" s="47"/>
      <c r="S54" s="47"/>
      <c r="T54" s="47"/>
      <c r="U54" s="96"/>
      <c r="V54" s="95"/>
      <c r="W54" s="95"/>
      <c r="X54" s="96"/>
      <c r="Y54" s="47"/>
      <c r="Z54" s="47"/>
      <c r="AA54" s="47"/>
      <c r="AB54" s="95"/>
      <c r="AC54" s="97"/>
      <c r="AD54" s="97"/>
      <c r="AE54" s="95"/>
      <c r="AF54" s="98"/>
      <c r="AG54" s="98"/>
      <c r="AH54" s="48"/>
      <c r="AI54" s="48"/>
      <c r="AJ54" s="48"/>
      <c r="AK54" s="48"/>
      <c r="AL54" s="48"/>
      <c r="AM54" s="48"/>
      <c r="AN54" s="48"/>
      <c r="AO54" s="48"/>
      <c r="AP54" s="48"/>
      <c r="AQ54" s="48"/>
    </row>
    <row r="55" spans="1:43" s="48" customFormat="1" hidden="1" x14ac:dyDescent="0.2">
      <c r="A55" s="49"/>
      <c r="B55" s="73"/>
      <c r="E55" s="73"/>
      <c r="I55" s="74"/>
      <c r="J55" s="74"/>
      <c r="K55" s="20">
        <v>44440</v>
      </c>
      <c r="L55" s="94">
        <f t="shared" si="41"/>
        <v>0.26225174654016825</v>
      </c>
      <c r="M55" s="94">
        <f t="shared" si="41"/>
        <v>0.29497301620021588</v>
      </c>
      <c r="N55" s="94">
        <f t="shared" si="41"/>
        <v>0.29152408933250795</v>
      </c>
      <c r="U55" s="75"/>
      <c r="V55" s="75"/>
      <c r="W55" s="75"/>
      <c r="X55" s="47"/>
      <c r="Y55" s="47"/>
      <c r="Z55" s="47"/>
      <c r="AA55" s="47"/>
    </row>
    <row r="56" spans="1:43" s="48" customFormat="1" hidden="1" x14ac:dyDescent="0.2">
      <c r="A56" s="99"/>
      <c r="B56" s="73"/>
      <c r="C56" s="73"/>
      <c r="D56" s="73"/>
      <c r="E56" s="73"/>
      <c r="F56" s="73"/>
      <c r="G56" s="73"/>
      <c r="H56" s="47"/>
      <c r="I56" s="73"/>
      <c r="J56" s="73"/>
      <c r="K56" s="20">
        <v>44470</v>
      </c>
      <c r="L56" s="45"/>
      <c r="M56" s="45"/>
      <c r="N56" s="45"/>
      <c r="O56" s="100"/>
      <c r="P56" s="100"/>
      <c r="Q56" s="100"/>
      <c r="R56" s="47"/>
      <c r="S56" s="47"/>
      <c r="T56" s="47"/>
      <c r="U56" s="96"/>
      <c r="V56" s="95"/>
      <c r="W56" s="95"/>
      <c r="X56" s="96"/>
      <c r="Y56" s="47"/>
      <c r="Z56" s="47"/>
      <c r="AA56" s="47"/>
      <c r="AC56" s="97"/>
      <c r="AD56" s="97"/>
      <c r="AF56" s="98"/>
      <c r="AG56" s="98"/>
    </row>
    <row r="57" spans="1:43" s="48" customFormat="1" hidden="1" x14ac:dyDescent="0.2">
      <c r="A57" s="49"/>
      <c r="B57" s="73"/>
      <c r="E57" s="73"/>
      <c r="I57" s="74"/>
      <c r="J57" s="74"/>
      <c r="K57" s="20">
        <v>44501</v>
      </c>
      <c r="L57" s="47"/>
      <c r="M57" s="47"/>
      <c r="N57" s="47"/>
      <c r="U57" s="75"/>
      <c r="V57" s="75"/>
      <c r="W57" s="75"/>
      <c r="X57" s="47"/>
      <c r="Y57" s="47"/>
      <c r="Z57" s="47"/>
      <c r="AA57" s="47"/>
    </row>
    <row r="58" spans="1:43" s="48" customFormat="1" hidden="1" x14ac:dyDescent="0.2">
      <c r="A58" s="49"/>
      <c r="B58" s="73"/>
      <c r="E58" s="73"/>
      <c r="I58" s="74"/>
      <c r="J58" s="74"/>
      <c r="K58" s="20">
        <v>44531</v>
      </c>
      <c r="L58" s="47"/>
      <c r="M58" s="47"/>
      <c r="N58" s="47"/>
      <c r="U58" s="75"/>
      <c r="V58" s="75"/>
      <c r="W58" s="75"/>
      <c r="X58" s="47"/>
      <c r="Y58" s="47"/>
      <c r="Z58" s="47"/>
      <c r="AA58" s="47"/>
    </row>
    <row r="59" spans="1:43" s="48" customFormat="1" hidden="1" x14ac:dyDescent="0.2">
      <c r="A59" s="49"/>
      <c r="B59" s="73"/>
      <c r="E59" s="73"/>
      <c r="I59" s="74"/>
      <c r="J59" s="74"/>
      <c r="K59" s="74"/>
      <c r="L59" s="47"/>
      <c r="M59" s="47"/>
      <c r="N59" s="47"/>
      <c r="U59" s="75"/>
      <c r="V59" s="75"/>
      <c r="W59" s="75"/>
      <c r="X59" s="47"/>
      <c r="Y59" s="47"/>
      <c r="Z59" s="47"/>
      <c r="AA59" s="47"/>
    </row>
    <row r="60" spans="1:43" s="48" customFormat="1" hidden="1" x14ac:dyDescent="0.2">
      <c r="A60" s="49"/>
      <c r="B60" s="73"/>
      <c r="E60" s="73"/>
      <c r="I60" s="74"/>
      <c r="J60" s="74"/>
      <c r="K60" s="74"/>
      <c r="L60" s="47"/>
      <c r="M60" s="47"/>
      <c r="N60" s="47"/>
      <c r="U60" s="75"/>
      <c r="V60" s="75"/>
      <c r="W60" s="75"/>
      <c r="X60" s="47"/>
      <c r="Y60" s="47"/>
      <c r="Z60" s="47"/>
      <c r="AA60" s="47"/>
    </row>
    <row r="61" spans="1:43" s="48" customFormat="1" hidden="1" x14ac:dyDescent="0.2">
      <c r="A61" s="49"/>
      <c r="D61"/>
      <c r="E61"/>
      <c r="F61" s="192">
        <v>2020</v>
      </c>
      <c r="G61" s="193"/>
      <c r="H61" s="193"/>
      <c r="I61" s="193"/>
      <c r="J61" s="194"/>
      <c r="K61" s="18"/>
      <c r="L61" s="192">
        <v>2021</v>
      </c>
      <c r="M61" s="193"/>
      <c r="N61" s="193"/>
      <c r="O61" s="193"/>
      <c r="P61" s="193"/>
      <c r="Q61" s="194"/>
      <c r="R61" s="101" t="s">
        <v>50</v>
      </c>
      <c r="S61" s="101" t="s">
        <v>50</v>
      </c>
      <c r="T61" s="101" t="s">
        <v>50</v>
      </c>
      <c r="V61" s="75"/>
      <c r="W61" s="75"/>
      <c r="X61" s="75"/>
      <c r="Y61" s="47"/>
      <c r="Z61" s="47"/>
      <c r="AA61" s="47"/>
      <c r="AB61" s="47"/>
      <c r="AE61" s="47"/>
    </row>
    <row r="62" spans="1:43" s="48" customFormat="1" ht="89.25" hidden="1" x14ac:dyDescent="0.2">
      <c r="A62" s="49"/>
      <c r="B62" s="102"/>
      <c r="C62" s="102"/>
      <c r="D62" s="103"/>
      <c r="E62" s="103"/>
      <c r="F62" s="104" t="s">
        <v>51</v>
      </c>
      <c r="G62" s="105" t="s">
        <v>52</v>
      </c>
      <c r="H62" s="105" t="s">
        <v>53</v>
      </c>
      <c r="I62" s="105" t="s">
        <v>54</v>
      </c>
      <c r="J62" s="105" t="s">
        <v>55</v>
      </c>
      <c r="K62" s="106"/>
      <c r="L62" s="104" t="s">
        <v>51</v>
      </c>
      <c r="M62" s="105" t="s">
        <v>56</v>
      </c>
      <c r="N62" s="105" t="s">
        <v>53</v>
      </c>
      <c r="O62" s="105" t="s">
        <v>54</v>
      </c>
      <c r="P62" s="105" t="s">
        <v>57</v>
      </c>
      <c r="Q62" s="105" t="s">
        <v>55</v>
      </c>
      <c r="R62" s="107" t="s">
        <v>58</v>
      </c>
      <c r="S62" s="107" t="s">
        <v>59</v>
      </c>
      <c r="T62" s="107" t="s">
        <v>60</v>
      </c>
      <c r="U62" s="47"/>
      <c r="V62" s="108"/>
      <c r="W62" s="108"/>
      <c r="X62" s="108"/>
    </row>
    <row r="63" spans="1:43" s="48" customFormat="1" hidden="1" x14ac:dyDescent="0.2">
      <c r="A63" s="49"/>
      <c r="B63" s="102"/>
      <c r="C63" s="102"/>
      <c r="D63" s="109"/>
      <c r="E63" s="110"/>
      <c r="F63" s="111">
        <v>43831</v>
      </c>
      <c r="G63" s="112">
        <v>12.102882149060481</v>
      </c>
      <c r="H63" s="112">
        <f>+N63</f>
        <v>6065.98</v>
      </c>
      <c r="I63" s="113">
        <f>+ROUND(H63*(3.97/1000),2)</f>
        <v>24.08</v>
      </c>
      <c r="J63" s="112">
        <f>+ROUND(G63*P63/I63,2)</f>
        <v>38869.65</v>
      </c>
      <c r="K63" s="112"/>
      <c r="L63" s="114">
        <v>44197</v>
      </c>
      <c r="M63" s="112">
        <f>+AC3</f>
        <v>12.042424147101887</v>
      </c>
      <c r="N63" s="112">
        <f t="shared" ref="N63:N74" si="42">+H3</f>
        <v>6065.98</v>
      </c>
      <c r="O63" s="113">
        <f>+ROUND(N63*(3.97/1000),2)</f>
        <v>24.08</v>
      </c>
      <c r="P63" s="115">
        <f t="shared" ref="P63:P74" si="43">+B3+C3+D3</f>
        <v>77335.39</v>
      </c>
      <c r="Q63" s="115">
        <f>+E3+F3+G3</f>
        <v>38425.259999999995</v>
      </c>
      <c r="R63" s="116">
        <f>+J63-Q63</f>
        <v>444.39000000000669</v>
      </c>
      <c r="S63" s="117">
        <f>+R63/J63</f>
        <v>1.1432827411618234E-2</v>
      </c>
      <c r="T63" s="118">
        <f>(SUM(R$63)/SUM(J$63))</f>
        <v>1.1432827411618234E-2</v>
      </c>
      <c r="V63" s="108"/>
      <c r="W63" s="108"/>
      <c r="X63" s="108"/>
      <c r="Y63" s="102"/>
    </row>
    <row r="64" spans="1:43" s="48" customFormat="1" hidden="1" x14ac:dyDescent="0.2">
      <c r="A64" s="49"/>
      <c r="B64" s="102"/>
      <c r="C64" s="102"/>
      <c r="D64" s="109"/>
      <c r="E64" s="110"/>
      <c r="F64" s="111">
        <v>43862</v>
      </c>
      <c r="G64" s="112">
        <v>11.651686774208031</v>
      </c>
      <c r="H64" s="112">
        <f t="shared" ref="H64:H74" si="44">+N64</f>
        <v>6084.76</v>
      </c>
      <c r="I64" s="113">
        <f t="shared" ref="I64:I69" si="45">+ROUND(H64*(3.97/1000),2)</f>
        <v>24.16</v>
      </c>
      <c r="J64" s="112">
        <f t="shared" ref="J64:J74" si="46">+ROUND(G64*P64/I64,2)</f>
        <v>47950.23</v>
      </c>
      <c r="K64" s="112"/>
      <c r="L64" s="114">
        <v>44228</v>
      </c>
      <c r="M64" s="112">
        <f>+AC4</f>
        <v>11.807151378370696</v>
      </c>
      <c r="N64" s="112">
        <f t="shared" si="42"/>
        <v>6084.76</v>
      </c>
      <c r="O64" s="113">
        <f t="shared" ref="O64:O74" si="47">+ROUND(N64*(3.97/1000),2)</f>
        <v>24.16</v>
      </c>
      <c r="P64" s="115">
        <f t="shared" si="43"/>
        <v>99425.73</v>
      </c>
      <c r="Q64" s="115">
        <f>+E4+F4+G4</f>
        <v>48556.69</v>
      </c>
      <c r="R64" s="116">
        <f>+J64-Q64</f>
        <v>-606.45999999999913</v>
      </c>
      <c r="S64" s="117">
        <f t="shared" ref="S64:S74" si="48">+R64/J64</f>
        <v>-1.2647697414590067E-2</v>
      </c>
      <c r="T64" s="118">
        <f>(SUM(R$63:R64)/SUM(J$63:J64))</f>
        <v>-1.8667383553166905E-3</v>
      </c>
      <c r="V64" s="108"/>
      <c r="W64" s="108"/>
      <c r="X64" s="108"/>
      <c r="Y64" s="102"/>
    </row>
    <row r="65" spans="1:24" s="48" customFormat="1" hidden="1" x14ac:dyDescent="0.2">
      <c r="A65" s="49"/>
      <c r="B65" s="102"/>
      <c r="C65" s="102"/>
      <c r="D65" s="109"/>
      <c r="E65" s="110"/>
      <c r="F65" s="111">
        <v>43891</v>
      </c>
      <c r="G65" s="112">
        <v>11.524820170344555</v>
      </c>
      <c r="H65" s="112">
        <f t="shared" si="44"/>
        <v>6067.44</v>
      </c>
      <c r="I65" s="113">
        <f t="shared" si="45"/>
        <v>24.09</v>
      </c>
      <c r="J65" s="112">
        <f t="shared" si="46"/>
        <v>10880.54</v>
      </c>
      <c r="K65" s="112"/>
      <c r="L65" s="114">
        <v>44256</v>
      </c>
      <c r="M65" s="112">
        <f>+AC5</f>
        <v>13.068534565491314</v>
      </c>
      <c r="N65" s="112">
        <f t="shared" si="42"/>
        <v>6067.44</v>
      </c>
      <c r="O65" s="113">
        <f t="shared" si="47"/>
        <v>24.09</v>
      </c>
      <c r="P65" s="115">
        <f t="shared" si="43"/>
        <v>22743.29</v>
      </c>
      <c r="Q65" s="115">
        <f>+E5+F5+G5</f>
        <v>11904.49</v>
      </c>
      <c r="R65" s="116">
        <f t="shared" ref="R65:R74" si="49">+J65-Q65</f>
        <v>-1023.9499999999989</v>
      </c>
      <c r="S65" s="117">
        <f t="shared" si="48"/>
        <v>-9.4108380650224976E-2</v>
      </c>
      <c r="T65" s="118">
        <f>(SUM(R$63:R65)/SUM(J$63:J65))</f>
        <v>-1.2139354160401676E-2</v>
      </c>
      <c r="V65" s="108"/>
      <c r="W65" s="108"/>
      <c r="X65" s="108"/>
    </row>
    <row r="66" spans="1:24" s="48" customFormat="1" hidden="1" x14ac:dyDescent="0.2">
      <c r="B66" s="102"/>
      <c r="C66" s="102"/>
      <c r="D66" s="109"/>
      <c r="E66" s="110"/>
      <c r="F66" s="111">
        <v>43922</v>
      </c>
      <c r="G66" s="112">
        <v>11.592616417062967</v>
      </c>
      <c r="H66" s="112">
        <f t="shared" si="44"/>
        <v>5939.76</v>
      </c>
      <c r="I66" s="113">
        <f t="shared" si="45"/>
        <v>23.58</v>
      </c>
      <c r="J66" s="112">
        <f t="shared" si="46"/>
        <v>11634.77</v>
      </c>
      <c r="K66" s="119"/>
      <c r="L66" s="114">
        <v>44287</v>
      </c>
      <c r="M66" s="112">
        <f>+AC6</f>
        <v>11.658816354602525</v>
      </c>
      <c r="N66" s="112">
        <f t="shared" si="42"/>
        <v>5939.76</v>
      </c>
      <c r="O66" s="113">
        <f t="shared" si="47"/>
        <v>23.58</v>
      </c>
      <c r="P66" s="115">
        <f t="shared" si="43"/>
        <v>23665.75</v>
      </c>
      <c r="Q66" s="115">
        <f>+E6+F6+G6</f>
        <v>11714.21</v>
      </c>
      <c r="R66" s="116">
        <f t="shared" si="49"/>
        <v>-79.43999999999869</v>
      </c>
      <c r="S66" s="117">
        <f t="shared" si="48"/>
        <v>-6.8278100899286098E-3</v>
      </c>
      <c r="T66" s="118">
        <f>(SUM(R$63:R66)/SUM(J$63:J66))</f>
        <v>-1.1574132719758294E-2</v>
      </c>
      <c r="V66" s="108"/>
      <c r="W66" s="108"/>
      <c r="X66" s="108"/>
    </row>
    <row r="67" spans="1:24" s="48" customFormat="1" hidden="1" x14ac:dyDescent="0.2">
      <c r="B67" s="102"/>
      <c r="C67" s="102"/>
      <c r="D67" s="109"/>
      <c r="E67" s="110"/>
      <c r="F67" s="111">
        <v>43952</v>
      </c>
      <c r="G67" s="112">
        <v>11.621921552860663</v>
      </c>
      <c r="H67" s="112">
        <f t="shared" si="44"/>
        <v>5758.36</v>
      </c>
      <c r="I67" s="113">
        <f t="shared" si="45"/>
        <v>22.86</v>
      </c>
      <c r="J67" s="112">
        <f t="shared" si="46"/>
        <v>3173.59</v>
      </c>
      <c r="K67" s="119"/>
      <c r="L67" s="114">
        <v>44317</v>
      </c>
      <c r="M67" s="112">
        <f>+AC7</f>
        <v>11.299352498052951</v>
      </c>
      <c r="N67" s="112">
        <f t="shared" si="42"/>
        <v>5758.36</v>
      </c>
      <c r="O67" s="113">
        <f t="shared" si="47"/>
        <v>22.86</v>
      </c>
      <c r="P67" s="115">
        <f t="shared" si="43"/>
        <v>6242.37</v>
      </c>
      <c r="Q67" s="115">
        <f>+E7+F7+G7</f>
        <v>3082</v>
      </c>
      <c r="R67" s="116">
        <f t="shared" si="49"/>
        <v>91.590000000000146</v>
      </c>
      <c r="S67" s="117">
        <f t="shared" si="48"/>
        <v>2.8860060688368737E-2</v>
      </c>
      <c r="T67" s="118">
        <f>(SUM(R$63:R67)/SUM(J$63:J67))</f>
        <v>-1.0433585716599093E-2</v>
      </c>
      <c r="V67" s="108"/>
      <c r="W67" s="108"/>
      <c r="X67" s="108"/>
    </row>
    <row r="68" spans="1:24" s="48" customFormat="1" hidden="1" x14ac:dyDescent="0.2">
      <c r="B68" s="102"/>
      <c r="C68" s="102"/>
      <c r="D68" s="109"/>
      <c r="E68" s="110"/>
      <c r="F68" s="111">
        <v>43983</v>
      </c>
      <c r="G68" s="112">
        <v>11.76921093439587</v>
      </c>
      <c r="H68" s="112">
        <f t="shared" si="44"/>
        <v>0</v>
      </c>
      <c r="I68" s="113">
        <f t="shared" si="45"/>
        <v>0</v>
      </c>
      <c r="J68" s="112"/>
      <c r="K68" s="119"/>
      <c r="L68" s="114">
        <v>44348</v>
      </c>
      <c r="M68" s="112"/>
      <c r="N68" s="112">
        <f t="shared" si="42"/>
        <v>0</v>
      </c>
      <c r="O68" s="113">
        <f t="shared" si="47"/>
        <v>0</v>
      </c>
      <c r="P68" s="115">
        <f t="shared" si="43"/>
        <v>0</v>
      </c>
      <c r="Q68" s="115"/>
      <c r="R68" s="116"/>
      <c r="S68" s="117"/>
      <c r="T68" s="118">
        <f>(SUM(R$63:R68)/SUM(J$63:J68))</f>
        <v>-1.0433585716599093E-2</v>
      </c>
      <c r="V68" s="108"/>
      <c r="W68" s="108"/>
      <c r="X68" s="108"/>
    </row>
    <row r="69" spans="1:24" s="48" customFormat="1" hidden="1" x14ac:dyDescent="0.2">
      <c r="B69" s="102"/>
      <c r="C69" s="102"/>
      <c r="D69" s="109"/>
      <c r="E69" s="110"/>
      <c r="F69" s="111">
        <v>44013</v>
      </c>
      <c r="G69" s="112">
        <v>12.948407644409425</v>
      </c>
      <c r="H69" s="112">
        <f t="shared" si="44"/>
        <v>5861.15</v>
      </c>
      <c r="I69" s="113">
        <f t="shared" si="45"/>
        <v>23.27</v>
      </c>
      <c r="J69" s="112">
        <f t="shared" si="46"/>
        <v>4812.03</v>
      </c>
      <c r="K69" s="119"/>
      <c r="L69" s="114">
        <v>44378</v>
      </c>
      <c r="M69" s="112">
        <f t="shared" ref="M69:M74" si="50">+AC9</f>
        <v>11.039738852492409</v>
      </c>
      <c r="N69" s="112">
        <f t="shared" si="42"/>
        <v>5861.15</v>
      </c>
      <c r="O69" s="113">
        <f t="shared" si="47"/>
        <v>23.27</v>
      </c>
      <c r="P69" s="115">
        <f t="shared" si="43"/>
        <v>8647.86</v>
      </c>
      <c r="Q69" s="115">
        <f t="shared" ref="Q69:Q74" si="51">+E9+F9+G9</f>
        <v>4102.93</v>
      </c>
      <c r="R69" s="116">
        <f t="shared" si="49"/>
        <v>709.09999999999945</v>
      </c>
      <c r="S69" s="117">
        <f t="shared" si="48"/>
        <v>0.1473598460524975</v>
      </c>
      <c r="T69" s="118">
        <f>(SUM(R$63:R69)/SUM(J$63:J69))</f>
        <v>-3.9615307804300908E-3</v>
      </c>
      <c r="V69" s="108"/>
      <c r="W69" s="108"/>
      <c r="X69" s="108"/>
    </row>
    <row r="70" spans="1:24" s="48" customFormat="1" hidden="1" x14ac:dyDescent="0.2">
      <c r="B70" s="102"/>
      <c r="C70" s="102"/>
      <c r="D70" s="109"/>
      <c r="E70" s="110"/>
      <c r="F70" s="111">
        <v>44044</v>
      </c>
      <c r="G70" s="112">
        <v>12.181521322587299</v>
      </c>
      <c r="H70" s="112">
        <f>+N70</f>
        <v>6024.68</v>
      </c>
      <c r="I70" s="113">
        <f>+ROUND(H70*(3.97/1000),2)</f>
        <v>23.92</v>
      </c>
      <c r="J70" s="112">
        <f>+ROUND(G70*P70/I70,2)</f>
        <v>6528.85</v>
      </c>
      <c r="K70" s="119"/>
      <c r="L70" s="114">
        <v>44409</v>
      </c>
      <c r="M70" s="112">
        <f t="shared" si="50"/>
        <v>12.410103861745899</v>
      </c>
      <c r="N70" s="112">
        <f t="shared" si="42"/>
        <v>6024.68</v>
      </c>
      <c r="O70" s="113">
        <f t="shared" si="47"/>
        <v>23.92</v>
      </c>
      <c r="P70" s="115">
        <f t="shared" si="43"/>
        <v>12820.25</v>
      </c>
      <c r="Q70" s="115">
        <f t="shared" si="51"/>
        <v>6593.93</v>
      </c>
      <c r="R70" s="116">
        <f t="shared" si="49"/>
        <v>-65.079999999999927</v>
      </c>
      <c r="S70" s="117">
        <f t="shared" si="48"/>
        <v>-9.9680648199912576E-3</v>
      </c>
      <c r="T70" s="118">
        <f>(SUM(R$63:R70)/SUM(J$63:J70))</f>
        <v>-4.2781708080586595E-3</v>
      </c>
      <c r="V70" s="108"/>
      <c r="W70" s="108"/>
      <c r="X70" s="108"/>
    </row>
    <row r="71" spans="1:24" s="48" customFormat="1" hidden="1" x14ac:dyDescent="0.2">
      <c r="B71" s="102"/>
      <c r="C71" s="102"/>
      <c r="D71" s="109"/>
      <c r="E71" s="110"/>
      <c r="F71" s="111">
        <v>44075</v>
      </c>
      <c r="G71" s="112">
        <v>11.892482933242903</v>
      </c>
      <c r="H71" s="112">
        <f t="shared" si="44"/>
        <v>5991.33</v>
      </c>
      <c r="I71" s="113">
        <f t="shared" ref="I71:I74" si="52">+ROUND(H71*(3.97/1000),2)</f>
        <v>23.79</v>
      </c>
      <c r="J71" s="112">
        <f t="shared" si="46"/>
        <v>8514.6200000000008</v>
      </c>
      <c r="K71" s="119"/>
      <c r="L71" s="114">
        <v>44440</v>
      </c>
      <c r="M71" s="112">
        <f>+AC11</f>
        <v>11.438743562288789</v>
      </c>
      <c r="N71" s="112">
        <f t="shared" si="42"/>
        <v>5991.33</v>
      </c>
      <c r="O71" s="113">
        <f t="shared" si="47"/>
        <v>23.79</v>
      </c>
      <c r="P71" s="115">
        <f t="shared" si="43"/>
        <v>17032.84</v>
      </c>
      <c r="Q71" s="115">
        <f t="shared" si="51"/>
        <v>8151.51</v>
      </c>
      <c r="R71" s="116">
        <f t="shared" si="49"/>
        <v>363.11000000000058</v>
      </c>
      <c r="S71" s="117">
        <f t="shared" si="48"/>
        <v>4.2645473315309497E-2</v>
      </c>
      <c r="T71" s="118">
        <f>(SUM(R$63:R71)/SUM(J$63:J71))</f>
        <v>-1.259705412970854E-3</v>
      </c>
      <c r="V71" s="108"/>
      <c r="W71" s="108"/>
      <c r="X71" s="108"/>
    </row>
    <row r="72" spans="1:24" s="48" customFormat="1" hidden="1" x14ac:dyDescent="0.2">
      <c r="B72" s="102"/>
      <c r="C72" s="102"/>
      <c r="D72" s="109"/>
      <c r="E72" s="110"/>
      <c r="F72" s="111">
        <v>44105</v>
      </c>
      <c r="G72" s="112">
        <v>11.803480554005048</v>
      </c>
      <c r="H72" s="112">
        <f t="shared" si="44"/>
        <v>5997.48</v>
      </c>
      <c r="I72" s="113">
        <f t="shared" si="52"/>
        <v>23.81</v>
      </c>
      <c r="J72" s="112">
        <f t="shared" si="46"/>
        <v>5737.66</v>
      </c>
      <c r="K72" s="119"/>
      <c r="L72" s="114">
        <v>44470</v>
      </c>
      <c r="M72" s="112">
        <f>+AC12</f>
        <v>11.877581881491034</v>
      </c>
      <c r="N72" s="112">
        <f t="shared" si="42"/>
        <v>5997.48</v>
      </c>
      <c r="O72" s="113">
        <f t="shared" si="47"/>
        <v>23.81</v>
      </c>
      <c r="P72" s="115">
        <f t="shared" si="43"/>
        <v>11574.0247</v>
      </c>
      <c r="Q72" s="115">
        <f t="shared" si="51"/>
        <v>5916.32</v>
      </c>
      <c r="R72" s="116">
        <f t="shared" si="49"/>
        <v>-178.65999999999985</v>
      </c>
      <c r="S72" s="117">
        <f t="shared" si="48"/>
        <v>-3.1138129481356486E-2</v>
      </c>
      <c r="T72" s="118">
        <f>(SUM(R$63:R72)/SUM(J$63:J72))</f>
        <v>-2.5010510351989954E-3</v>
      </c>
      <c r="V72" s="108"/>
      <c r="W72" s="108"/>
      <c r="X72" s="108"/>
    </row>
    <row r="73" spans="1:24" s="48" customFormat="1" hidden="1" x14ac:dyDescent="0.2">
      <c r="B73" s="102"/>
      <c r="C73" s="102"/>
      <c r="D73" s="109"/>
      <c r="E73" s="110"/>
      <c r="F73" s="111">
        <v>44136</v>
      </c>
      <c r="G73" s="112">
        <v>12.234319509719606</v>
      </c>
      <c r="H73" s="112">
        <f t="shared" si="44"/>
        <v>0</v>
      </c>
      <c r="I73" s="113">
        <f t="shared" si="52"/>
        <v>0</v>
      </c>
      <c r="J73" s="112" t="e">
        <f t="shared" si="46"/>
        <v>#DIV/0!</v>
      </c>
      <c r="K73" s="119"/>
      <c r="L73" s="114">
        <v>44501</v>
      </c>
      <c r="M73" s="112">
        <f t="shared" si="50"/>
        <v>0</v>
      </c>
      <c r="N73" s="112">
        <f t="shared" si="42"/>
        <v>0</v>
      </c>
      <c r="O73" s="113">
        <f t="shared" si="47"/>
        <v>0</v>
      </c>
      <c r="P73" s="115">
        <f t="shared" si="43"/>
        <v>0</v>
      </c>
      <c r="Q73" s="115">
        <f t="shared" si="51"/>
        <v>0</v>
      </c>
      <c r="R73" s="116" t="e">
        <f t="shared" si="49"/>
        <v>#DIV/0!</v>
      </c>
      <c r="S73" s="117" t="e">
        <f t="shared" si="48"/>
        <v>#DIV/0!</v>
      </c>
      <c r="T73" s="118" t="e">
        <f>(SUM(R$63:R73)/SUM(J$63:J73))</f>
        <v>#DIV/0!</v>
      </c>
      <c r="V73" s="108"/>
      <c r="W73" s="108"/>
      <c r="X73" s="108"/>
    </row>
    <row r="74" spans="1:24" s="48" customFormat="1" hidden="1" x14ac:dyDescent="0.2">
      <c r="B74" s="102"/>
      <c r="C74" s="102"/>
      <c r="D74" s="109"/>
      <c r="E74" s="110"/>
      <c r="F74" s="111">
        <v>44166</v>
      </c>
      <c r="G74" s="112">
        <v>12.105988767427647</v>
      </c>
      <c r="H74" s="112">
        <f t="shared" si="44"/>
        <v>0</v>
      </c>
      <c r="I74" s="113">
        <f t="shared" si="52"/>
        <v>0</v>
      </c>
      <c r="J74" s="112" t="e">
        <f t="shared" si="46"/>
        <v>#DIV/0!</v>
      </c>
      <c r="K74" s="119"/>
      <c r="L74" s="114">
        <v>44531</v>
      </c>
      <c r="M74" s="112">
        <f t="shared" si="50"/>
        <v>0</v>
      </c>
      <c r="N74" s="112">
        <f t="shared" si="42"/>
        <v>0</v>
      </c>
      <c r="O74" s="113">
        <f t="shared" si="47"/>
        <v>0</v>
      </c>
      <c r="P74" s="115">
        <f t="shared" si="43"/>
        <v>0</v>
      </c>
      <c r="Q74" s="115">
        <f t="shared" si="51"/>
        <v>0</v>
      </c>
      <c r="R74" s="116" t="e">
        <f t="shared" si="49"/>
        <v>#DIV/0!</v>
      </c>
      <c r="S74" s="117" t="e">
        <f t="shared" si="48"/>
        <v>#DIV/0!</v>
      </c>
      <c r="T74" s="118" t="e">
        <f>(SUM(R$63:R74)/SUM(J$63:J74))</f>
        <v>#DIV/0!</v>
      </c>
      <c r="V74" s="108"/>
      <c r="W74" s="108"/>
      <c r="X74" s="108"/>
    </row>
    <row r="75" spans="1:24" s="120" customFormat="1" hidden="1" x14ac:dyDescent="0.2">
      <c r="D75" s="121"/>
      <c r="E75" s="122"/>
      <c r="F75" s="123" t="s">
        <v>61</v>
      </c>
      <c r="G75" s="124"/>
      <c r="H75" s="124"/>
      <c r="I75" s="124"/>
      <c r="J75" s="125" t="e">
        <f>SUM(J63:J74)</f>
        <v>#DIV/0!</v>
      </c>
      <c r="K75" s="125"/>
      <c r="L75" s="126"/>
      <c r="M75" s="124"/>
      <c r="N75" s="124"/>
      <c r="O75" s="124"/>
      <c r="P75" s="127">
        <f>SUM(P63:P74)</f>
        <v>279487.50470000005</v>
      </c>
      <c r="Q75" s="127">
        <f>SUM(Q63:Q74)</f>
        <v>138447.34</v>
      </c>
      <c r="R75" s="128" t="e">
        <f>+J75-Q75</f>
        <v>#DIV/0!</v>
      </c>
      <c r="S75" s="129" t="e">
        <f>+R75/J75</f>
        <v>#DIV/0!</v>
      </c>
      <c r="T75" s="130"/>
      <c r="V75" s="131"/>
      <c r="W75" s="131"/>
      <c r="X75" s="131"/>
    </row>
    <row r="76" spans="1:24" s="48" customFormat="1" hidden="1" x14ac:dyDescent="0.2">
      <c r="E76" s="102"/>
      <c r="I76" s="74"/>
      <c r="J76" s="74"/>
      <c r="K76" s="74"/>
      <c r="U76" s="108"/>
      <c r="V76" s="108"/>
      <c r="W76" s="108"/>
    </row>
    <row r="77" spans="1:24" s="48" customFormat="1" hidden="1" x14ac:dyDescent="0.2">
      <c r="I77" s="74"/>
      <c r="J77" s="74">
        <f>SUM(J63:J71)</f>
        <v>132364.28000000003</v>
      </c>
      <c r="K77" s="74"/>
      <c r="R77" s="132" t="s">
        <v>62</v>
      </c>
      <c r="S77" s="133"/>
      <c r="U77" s="108"/>
      <c r="V77" s="108"/>
      <c r="W77" s="108"/>
    </row>
    <row r="78" spans="1:24" s="48" customFormat="1" ht="13.5" hidden="1" thickBot="1" x14ac:dyDescent="0.25">
      <c r="I78" s="74"/>
      <c r="J78" s="74"/>
      <c r="K78" s="74"/>
      <c r="M78" s="134"/>
      <c r="R78" s="135" t="e">
        <f>R75*T78</f>
        <v>#DIV/0!</v>
      </c>
      <c r="T78" s="136">
        <v>139112</v>
      </c>
      <c r="U78" s="137" t="s">
        <v>63</v>
      </c>
      <c r="V78" s="108"/>
      <c r="W78" s="108"/>
    </row>
    <row r="79" spans="1:24" ht="13.5" hidden="1" thickBot="1" x14ac:dyDescent="0.25">
      <c r="F79" s="195" t="s">
        <v>64</v>
      </c>
      <c r="G79" s="196"/>
      <c r="H79" s="196"/>
      <c r="I79" s="196"/>
      <c r="J79" s="197"/>
      <c r="N79" s="138">
        <f>J77-Q75</f>
        <v>-6083.0599999999686</v>
      </c>
    </row>
    <row r="80" spans="1:24" ht="29.25" hidden="1" thickBot="1" x14ac:dyDescent="0.25">
      <c r="F80" s="140" t="s">
        <v>65</v>
      </c>
      <c r="G80" s="141" t="s">
        <v>66</v>
      </c>
      <c r="H80" s="141" t="s">
        <v>67</v>
      </c>
      <c r="I80" s="141" t="s">
        <v>68</v>
      </c>
      <c r="J80" s="141" t="s">
        <v>20</v>
      </c>
      <c r="R80" s="138"/>
    </row>
    <row r="81" spans="1:42" ht="29.25" hidden="1" thickBot="1" x14ac:dyDescent="0.25">
      <c r="F81" s="142" t="s">
        <v>69</v>
      </c>
      <c r="G81" s="141" t="s">
        <v>70</v>
      </c>
      <c r="H81" s="141" t="s">
        <v>70</v>
      </c>
      <c r="I81" s="141" t="s">
        <v>70</v>
      </c>
      <c r="J81" s="141" t="s">
        <v>70</v>
      </c>
      <c r="R81" s="138"/>
    </row>
    <row r="82" spans="1:42" ht="15.75" hidden="1" thickBot="1" x14ac:dyDescent="0.25">
      <c r="F82" s="143" t="s">
        <v>71</v>
      </c>
      <c r="G82" s="144">
        <f>AL3</f>
        <v>12.3507</v>
      </c>
      <c r="H82" s="144">
        <f t="shared" ref="H82:J82" si="53">AM3</f>
        <v>11.376099999999999</v>
      </c>
      <c r="I82" s="144">
        <f t="shared" si="53"/>
        <v>11.5524</v>
      </c>
      <c r="J82" s="144">
        <f t="shared" si="53"/>
        <v>11.6425</v>
      </c>
      <c r="R82" s="138"/>
    </row>
    <row r="83" spans="1:42" ht="30.75" hidden="1" thickBot="1" x14ac:dyDescent="0.25">
      <c r="F83" s="145" t="s">
        <v>72</v>
      </c>
      <c r="G83" s="144">
        <f>Y29</f>
        <v>12.703455891493508</v>
      </c>
      <c r="H83" s="144">
        <f t="shared" ref="H83:I83" si="54">Z29</f>
        <v>11.223145837011863</v>
      </c>
      <c r="I83" s="144">
        <f t="shared" si="54"/>
        <v>11.400754497512684</v>
      </c>
      <c r="J83" s="144">
        <f>AF29</f>
        <v>11.592380489800608</v>
      </c>
      <c r="R83" s="138"/>
    </row>
    <row r="84" spans="1:42" ht="23.25" hidden="1" customHeight="1" thickBot="1" x14ac:dyDescent="0.25">
      <c r="F84" s="142" t="s">
        <v>73</v>
      </c>
      <c r="G84" s="146" t="s">
        <v>74</v>
      </c>
      <c r="H84" s="146" t="s">
        <v>75</v>
      </c>
      <c r="I84" s="146" t="s">
        <v>76</v>
      </c>
      <c r="J84" s="146" t="s">
        <v>20</v>
      </c>
      <c r="U84" s="198" t="s">
        <v>77</v>
      </c>
      <c r="V84" s="147" t="s">
        <v>66</v>
      </c>
      <c r="W84" s="147" t="s">
        <v>67</v>
      </c>
      <c r="X84" s="147" t="s">
        <v>68</v>
      </c>
      <c r="Y84" s="147" t="s">
        <v>20</v>
      </c>
      <c r="Z84" s="200" t="s">
        <v>78</v>
      </c>
      <c r="AB84" s="202" t="s">
        <v>77</v>
      </c>
      <c r="AC84" s="148" t="s">
        <v>66</v>
      </c>
      <c r="AD84" s="148" t="s">
        <v>67</v>
      </c>
      <c r="AE84" s="148" t="s">
        <v>68</v>
      </c>
      <c r="AF84" s="148" t="s">
        <v>20</v>
      </c>
      <c r="AK84" s="39"/>
      <c r="AP84"/>
    </row>
    <row r="85" spans="1:42" ht="30.75" hidden="1" customHeight="1" thickBot="1" x14ac:dyDescent="0.25">
      <c r="F85" s="149" t="s">
        <v>79</v>
      </c>
      <c r="G85" s="146" t="s">
        <v>80</v>
      </c>
      <c r="H85" s="146" t="s">
        <v>81</v>
      </c>
      <c r="I85" s="146" t="s">
        <v>82</v>
      </c>
      <c r="J85" s="146" t="s">
        <v>83</v>
      </c>
      <c r="R85" s="138"/>
      <c r="U85" s="199"/>
      <c r="V85" s="150" t="s">
        <v>84</v>
      </c>
      <c r="W85" s="150" t="s">
        <v>84</v>
      </c>
      <c r="X85" s="150" t="s">
        <v>84</v>
      </c>
      <c r="Y85" s="150" t="s">
        <v>84</v>
      </c>
      <c r="Z85" s="201"/>
      <c r="AB85" s="203"/>
      <c r="AC85" s="151" t="s">
        <v>85</v>
      </c>
      <c r="AD85" s="151" t="s">
        <v>85</v>
      </c>
      <c r="AE85" s="151" t="s">
        <v>85</v>
      </c>
      <c r="AF85" s="151" t="s">
        <v>85</v>
      </c>
      <c r="AK85" s="39"/>
      <c r="AP85"/>
    </row>
    <row r="86" spans="1:42" ht="38.25" hidden="1" thickBot="1" x14ac:dyDescent="0.35">
      <c r="F86" s="149" t="s">
        <v>86</v>
      </c>
      <c r="G86" s="144">
        <f>R29</f>
        <v>26.698131500000002</v>
      </c>
      <c r="H86" s="144">
        <f t="shared" ref="H86:I86" si="55">S29</f>
        <v>57.677915451107502</v>
      </c>
      <c r="I86" s="144">
        <f t="shared" si="55"/>
        <v>54.345704664341767</v>
      </c>
      <c r="J86" s="144">
        <f>SUM(G86:I86)</f>
        <v>138.72175161544925</v>
      </c>
      <c r="R86" s="152"/>
      <c r="U86" s="153" t="s">
        <v>71</v>
      </c>
      <c r="V86" s="154">
        <v>12.3507</v>
      </c>
      <c r="W86" s="155">
        <v>11.376099999999999</v>
      </c>
      <c r="X86" s="155">
        <v>11.5524</v>
      </c>
      <c r="Y86" s="155">
        <v>11.6425</v>
      </c>
      <c r="Z86" s="156">
        <v>29.31</v>
      </c>
      <c r="AB86" s="157" t="s">
        <v>71</v>
      </c>
      <c r="AC86" s="158">
        <f>3.41214/V86</f>
        <v>0.27627098059219318</v>
      </c>
      <c r="AD86" s="158">
        <f>3.41214/W86</f>
        <v>0.2999393465247317</v>
      </c>
      <c r="AE86" s="158">
        <f t="shared" ref="AE86:AF86" si="56">3.41214/X86</f>
        <v>0.29536200270073748</v>
      </c>
      <c r="AF86" s="158">
        <f t="shared" si="56"/>
        <v>0.29307622933218808</v>
      </c>
      <c r="AK86" s="39"/>
      <c r="AP86"/>
    </row>
    <row r="87" spans="1:42" ht="36.75" hidden="1" customHeight="1" thickBot="1" x14ac:dyDescent="0.35">
      <c r="F87" s="149" t="s">
        <v>87</v>
      </c>
      <c r="G87" s="159">
        <f>O29/$K$87</f>
        <v>0.20547945205479451</v>
      </c>
      <c r="H87" s="159">
        <f>P29/$K$87</f>
        <v>0.2113013698630137</v>
      </c>
      <c r="I87" s="159">
        <f>Q29/$K$87</f>
        <v>0.26187214611872145</v>
      </c>
      <c r="J87" s="160"/>
      <c r="K87" s="44">
        <f>365*24</f>
        <v>8760</v>
      </c>
      <c r="R87" s="161"/>
      <c r="U87" s="153" t="s">
        <v>88</v>
      </c>
      <c r="V87" s="162">
        <v>12.774081592425523</v>
      </c>
      <c r="W87" s="163">
        <v>11.328188919036108</v>
      </c>
      <c r="X87" s="163">
        <v>11.460825994070255</v>
      </c>
      <c r="Y87" s="163">
        <v>11.672777298218183</v>
      </c>
      <c r="Z87" s="163">
        <v>29.231603694870916</v>
      </c>
      <c r="AB87" s="157" t="s">
        <v>89</v>
      </c>
      <c r="AC87" s="158">
        <f>3.41214/V87</f>
        <v>0.26711431074804243</v>
      </c>
      <c r="AD87" s="158">
        <f>3.41214/W87</f>
        <v>0.30120790043200762</v>
      </c>
      <c r="AE87" s="158">
        <f>3.41214/X87</f>
        <v>0.29772199680593836</v>
      </c>
      <c r="AF87" s="158">
        <f>3.41214/Y87</f>
        <v>0.29231603694870917</v>
      </c>
      <c r="AK87" s="39"/>
      <c r="AP87"/>
    </row>
    <row r="88" spans="1:42" ht="46.5" hidden="1" customHeight="1" thickBot="1" x14ac:dyDescent="0.35">
      <c r="F88" s="149" t="s">
        <v>90</v>
      </c>
      <c r="G88" s="159">
        <f>B29/$K$88</f>
        <v>0.17194556426264448</v>
      </c>
      <c r="H88" s="159">
        <f t="shared" ref="H88:I88" si="57">C29/$K$88</f>
        <v>0.38199139390720671</v>
      </c>
      <c r="I88" s="159">
        <f t="shared" si="57"/>
        <v>0.44606304183014883</v>
      </c>
      <c r="J88" s="160"/>
      <c r="K88" s="44">
        <f>SUM(B29:D29)</f>
        <v>279487.50469999999</v>
      </c>
      <c r="M88" s="164">
        <f>+G88+H88+I88</f>
        <v>1</v>
      </c>
      <c r="U88" s="165" t="s">
        <v>91</v>
      </c>
      <c r="V88" s="166"/>
      <c r="W88" s="166"/>
      <c r="X88" s="166"/>
      <c r="Y88" s="166"/>
      <c r="Z88" s="166"/>
      <c r="AB88" s="167" t="s">
        <v>92</v>
      </c>
      <c r="AC88" s="168" t="s">
        <v>93</v>
      </c>
      <c r="AD88" s="169" t="s">
        <v>94</v>
      </c>
      <c r="AE88" s="169" t="s">
        <v>94</v>
      </c>
      <c r="AF88" s="168" t="s">
        <v>93</v>
      </c>
      <c r="AG88" s="170"/>
    </row>
    <row r="89" spans="1:42" ht="75" hidden="1" x14ac:dyDescent="0.3">
      <c r="U89" s="165" t="s">
        <v>92</v>
      </c>
      <c r="V89" s="166"/>
      <c r="W89" s="166"/>
      <c r="X89" s="166"/>
      <c r="Y89" s="166"/>
      <c r="Z89" s="166"/>
      <c r="AB89" s="171"/>
      <c r="AC89" s="172"/>
      <c r="AD89" s="172"/>
      <c r="AE89" s="172"/>
      <c r="AF89" s="172"/>
      <c r="AG89" s="166"/>
    </row>
    <row r="90" spans="1:42" hidden="1" x14ac:dyDescent="0.2"/>
    <row r="91" spans="1:42" hidden="1" x14ac:dyDescent="0.2"/>
    <row r="92" spans="1:42" hidden="1" x14ac:dyDescent="0.2">
      <c r="AC92" s="173">
        <v>0.27627098059219318</v>
      </c>
      <c r="AD92" s="173">
        <v>0.2999393465247317</v>
      </c>
      <c r="AE92" s="173">
        <v>0.29536200270073748</v>
      </c>
      <c r="AF92" s="173">
        <v>0.29307622933218808</v>
      </c>
    </row>
    <row r="93" spans="1:42" hidden="1" x14ac:dyDescent="0.2"/>
    <row r="94" spans="1:42" hidden="1" x14ac:dyDescent="0.2">
      <c r="A94" s="174"/>
      <c r="B94" s="175"/>
      <c r="C94" s="175"/>
      <c r="D94" s="175"/>
      <c r="E94" s="175"/>
      <c r="F94" s="175"/>
      <c r="G94" s="175"/>
      <c r="H94" s="175"/>
      <c r="I94" s="176"/>
      <c r="J94" s="176"/>
      <c r="K94" s="176"/>
      <c r="L94" s="175"/>
      <c r="M94" s="175"/>
      <c r="N94" s="175"/>
      <c r="O94" s="175"/>
      <c r="P94" s="175"/>
      <c r="Q94" s="175"/>
      <c r="R94" s="175"/>
      <c r="S94" s="175"/>
      <c r="T94" s="175"/>
      <c r="U94" s="177"/>
      <c r="V94" s="177"/>
      <c r="W94" s="177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</row>
    <row r="95" spans="1:42" hidden="1" x14ac:dyDescent="0.2">
      <c r="B95" s="175"/>
      <c r="C95" s="175"/>
      <c r="D95" s="175"/>
      <c r="E95" s="175"/>
      <c r="F95" s="175"/>
      <c r="G95" s="175"/>
      <c r="H95" s="175"/>
      <c r="I95" s="176"/>
      <c r="J95" s="176"/>
      <c r="K95" s="176"/>
      <c r="L95" s="175"/>
      <c r="M95" s="175"/>
      <c r="N95" s="175"/>
      <c r="O95" s="175"/>
      <c r="P95" s="175"/>
      <c r="Q95" s="175"/>
      <c r="R95" s="175"/>
      <c r="S95" s="175"/>
      <c r="T95" s="175"/>
      <c r="U95" s="177"/>
      <c r="V95" s="177"/>
      <c r="W95" s="177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</row>
    <row r="96" spans="1:42" hidden="1" x14ac:dyDescent="0.2">
      <c r="A96" s="174"/>
      <c r="B96" s="175"/>
      <c r="C96" s="175"/>
      <c r="D96" s="175"/>
      <c r="E96" s="175"/>
      <c r="F96" s="175"/>
      <c r="G96" s="175"/>
      <c r="H96" s="175"/>
      <c r="I96" s="176"/>
      <c r="J96" s="176"/>
      <c r="K96" s="176"/>
      <c r="L96" s="175"/>
      <c r="M96" s="175"/>
      <c r="N96" s="175"/>
      <c r="O96" s="175"/>
      <c r="P96" s="175"/>
      <c r="Q96" s="175"/>
      <c r="R96" s="175"/>
      <c r="S96" s="175"/>
      <c r="T96" s="175"/>
      <c r="U96" s="177"/>
      <c r="V96" s="177"/>
      <c r="W96" s="177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</row>
    <row r="97" spans="1:33" hidden="1" x14ac:dyDescent="0.2"/>
    <row r="98" spans="1:33" hidden="1" x14ac:dyDescent="0.2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</row>
  </sheetData>
  <sheetProtection sheet="1" objects="1" scenarios="1"/>
  <mergeCells count="19">
    <mergeCell ref="A17:AG17"/>
    <mergeCell ref="A1:A2"/>
    <mergeCell ref="B1:D1"/>
    <mergeCell ref="E1:G1"/>
    <mergeCell ref="H1:H2"/>
    <mergeCell ref="I1:K1"/>
    <mergeCell ref="L1:N1"/>
    <mergeCell ref="O1:Q1"/>
    <mergeCell ref="R1:T1"/>
    <mergeCell ref="U1:X1"/>
    <mergeCell ref="Y1:AA1"/>
    <mergeCell ref="AL1:AO1"/>
    <mergeCell ref="A31:AG31"/>
    <mergeCell ref="F61:J61"/>
    <mergeCell ref="L61:Q61"/>
    <mergeCell ref="F79:J79"/>
    <mergeCell ref="U84:U85"/>
    <mergeCell ref="Z84:Z85"/>
    <mergeCell ref="AB84:AB8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 Sanabria Higuera</dc:creator>
  <cp:lastModifiedBy>Alirio Sanabria Higuera</cp:lastModifiedBy>
  <dcterms:created xsi:type="dcterms:W3CDTF">2021-11-08T12:10:08Z</dcterms:created>
  <dcterms:modified xsi:type="dcterms:W3CDTF">2021-11-08T12:17:08Z</dcterms:modified>
</cp:coreProperties>
</file>